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21" firstSheet="8" activeTab="11"/>
  </bookViews>
  <sheets>
    <sheet name="Jan 19" sheetId="1" state="hidden" r:id="rId1"/>
    <sheet name="Feb 19" sheetId="2" state="hidden" r:id="rId2"/>
    <sheet name="Mar 19" sheetId="3" state="hidden" r:id="rId3"/>
    <sheet name="Apr 19" sheetId="4" state="hidden" r:id="rId4"/>
    <sheet name="May 19" sheetId="5" state="hidden" r:id="rId5"/>
    <sheet name="Jun 19" sheetId="6" state="hidden" r:id="rId6"/>
    <sheet name="Jul 19" sheetId="7" state="hidden" r:id="rId7"/>
    <sheet name="Aug 19" sheetId="8" state="hidden" r:id="rId8"/>
    <sheet name="Sept 19" sheetId="9" r:id="rId9"/>
    <sheet name="Oct 19" sheetId="10" r:id="rId10"/>
    <sheet name="Nov 19" sheetId="11" r:id="rId11"/>
    <sheet name="Dec 19" sheetId="12" r:id="rId12"/>
    <sheet name="rolling " sheetId="13" state="hidden" r:id="rId13"/>
    <sheet name="Totals" sheetId="14" state="hidden" r:id="rId14"/>
    <sheet name="Outside Bodies" sheetId="15" state="hidden" r:id="rId15"/>
  </sheets>
  <definedNames/>
  <calcPr fullCalcOnLoad="1"/>
</workbook>
</file>

<file path=xl/comments1.xml><?xml version="1.0" encoding="utf-8"?>
<comments xmlns="http://schemas.openxmlformats.org/spreadsheetml/2006/main">
  <authors>
    <author>grace.hourigan</author>
    <author>Hourigan, Grace</author>
  </authors>
  <commentList>
    <comment ref="K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€300.00</t>
        </r>
        <r>
          <rPr>
            <sz val="9"/>
            <rFont val="Tahoma"/>
            <family val="2"/>
          </rPr>
          <t xml:space="preserve"> Wifi Bills Jan to Dec 2018</t>
        </r>
      </text>
    </comment>
    <comment ref="L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€198.69 </t>
        </r>
        <r>
          <rPr>
            <sz val="9"/>
            <rFont val="Tahoma"/>
            <family val="2"/>
          </rPr>
          <t>Mobile Phone Bills Jan to Dec 2018</t>
        </r>
      </text>
    </comment>
    <comment ref="L30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€80.04</t>
        </r>
        <r>
          <rPr>
            <sz val="9"/>
            <rFont val="Tahoma"/>
            <family val="2"/>
          </rPr>
          <t xml:space="preserve"> Mobile Phone Bills July to Dec, 2017.  Jan to June, 2018.</t>
        </r>
      </text>
    </comment>
    <comment ref="L3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€258.21</t>
        </r>
        <r>
          <rPr>
            <sz val="9"/>
            <rFont val="Tahoma"/>
            <family val="2"/>
          </rPr>
          <t xml:space="preserve"> Mobile Phone Bills Jan to Dec 2018</t>
        </r>
      </text>
    </comment>
    <comment ref="L36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€76.13</t>
        </r>
        <r>
          <rPr>
            <sz val="9"/>
            <rFont val="Tahoma"/>
            <family val="2"/>
          </rPr>
          <t xml:space="preserve"> Mobile Phone Bills July to Dec 2018.</t>
        </r>
      </text>
    </comment>
    <comment ref="L4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€59.85</t>
        </r>
        <r>
          <rPr>
            <sz val="9"/>
            <rFont val="Tahoma"/>
            <family val="2"/>
          </rPr>
          <t xml:space="preserve"> Mobile Phone Bills Aug to Dec 2018.</t>
        </r>
      </text>
    </comment>
    <comment ref="K36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€59.24</t>
        </r>
        <r>
          <rPr>
            <sz val="9"/>
            <rFont val="Tahoma"/>
            <family val="2"/>
          </rPr>
          <t xml:space="preserve"> wifi bills July to Oct 2018.</t>
        </r>
      </text>
    </comment>
    <comment ref="E37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€747.12</t>
        </r>
        <r>
          <rPr>
            <sz val="9"/>
            <rFont val="Tahoma"/>
            <family val="2"/>
          </rPr>
          <t xml:space="preserve"> LAMA Spring Training Seminar, 2018. 6th and 7th April, 2018.
</t>
        </r>
        <r>
          <rPr>
            <b/>
            <sz val="9"/>
            <rFont val="Tahoma"/>
            <family val="2"/>
          </rPr>
          <t>€671.02</t>
        </r>
        <r>
          <rPr>
            <sz val="9"/>
            <rFont val="Tahoma"/>
            <family val="2"/>
          </rPr>
          <t xml:space="preserve"> AILG 3, Dundalk, Co. Louth. 23rd June, 2018.
</t>
        </r>
        <r>
          <rPr>
            <b/>
            <sz val="9"/>
            <rFont val="Tahoma"/>
            <family val="2"/>
          </rPr>
          <t>€372.17</t>
        </r>
        <r>
          <rPr>
            <sz val="9"/>
            <rFont val="Tahoma"/>
            <family val="2"/>
          </rPr>
          <t xml:space="preserve"> AILG 5, Sligo. 13th Oct, 2018.
</t>
        </r>
        <r>
          <rPr>
            <b/>
            <sz val="9"/>
            <rFont val="Tahoma"/>
            <family val="2"/>
          </rPr>
          <t xml:space="preserve">€428.60 </t>
        </r>
        <r>
          <rPr>
            <sz val="9"/>
            <rFont val="Tahoma"/>
            <family val="2"/>
          </rPr>
          <t xml:space="preserve">AILG Autumn Sem, 2018. Monaghan. 25th and 26th Oct, 2018.
</t>
        </r>
        <r>
          <rPr>
            <b/>
            <sz val="9"/>
            <rFont val="Tahoma"/>
            <family val="2"/>
          </rPr>
          <t xml:space="preserve">€191.56 </t>
        </r>
        <r>
          <rPr>
            <sz val="9"/>
            <rFont val="Tahoma"/>
            <family val="2"/>
          </rPr>
          <t xml:space="preserve">LAMA Autumn Sem, 2018. Castleisland, 28th Sep, 2018.
</t>
        </r>
        <r>
          <rPr>
            <b/>
            <sz val="9"/>
            <rFont val="Tahoma"/>
            <family val="2"/>
          </rPr>
          <t xml:space="preserve">€453.84 </t>
        </r>
        <r>
          <rPr>
            <sz val="9"/>
            <rFont val="Tahoma"/>
            <family val="2"/>
          </rPr>
          <t>AILG 1, Carlow. 17th Feb, 2018.</t>
        </r>
      </text>
    </comment>
    <comment ref="E4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€467.11 </t>
        </r>
        <r>
          <rPr>
            <sz val="9"/>
            <rFont val="Tahoma"/>
            <family val="2"/>
          </rPr>
          <t>Housing Conference, 2018.  Dublin, 4th Dec, 2018.</t>
        </r>
      </text>
    </comment>
    <comment ref="E13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€558.99</t>
        </r>
        <r>
          <rPr>
            <sz val="9"/>
            <rFont val="Tahoma"/>
            <family val="2"/>
          </rPr>
          <t xml:space="preserve"> Housing Conference, 2018.  Dublin, 4th Dec, 2018.</t>
        </r>
      </text>
    </comment>
    <comment ref="E14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€419.97</t>
        </r>
        <r>
          <rPr>
            <sz val="9"/>
            <rFont val="Tahoma"/>
            <family val="2"/>
          </rPr>
          <t xml:space="preserve"> Housing Conference, 2018.  Dublin, 4th Dec, 2018.
</t>
        </r>
        <r>
          <rPr>
            <b/>
            <sz val="9"/>
            <rFont val="Tahoma"/>
            <family val="2"/>
          </rPr>
          <t xml:space="preserve">€593.58 </t>
        </r>
        <r>
          <rPr>
            <sz val="9"/>
            <rFont val="Tahoma"/>
            <family val="2"/>
          </rPr>
          <t>NFLA, 2018. Newry.  7th Dec, 2018.</t>
        </r>
      </text>
    </comment>
    <comment ref="D3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€529.78</t>
        </r>
        <r>
          <rPr>
            <sz val="9"/>
            <rFont val="Tahoma"/>
            <family val="2"/>
          </rPr>
          <t xml:space="preserve"> EU Cohesion Policy 2014-2020, Carlingford, Co. Louth.  14th Dec, 2018.</t>
        </r>
      </text>
    </comment>
    <comment ref="D18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€184.62 </t>
        </r>
        <r>
          <rPr>
            <sz val="9"/>
            <rFont val="Tahoma"/>
            <family val="2"/>
          </rPr>
          <t>Politics Needs Women, Dub 1.  14th Dec, 2018.</t>
        </r>
      </text>
    </comment>
    <comment ref="E21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€656.53</t>
        </r>
        <r>
          <rPr>
            <sz val="9"/>
            <rFont val="Tahoma"/>
            <family val="2"/>
          </rPr>
          <t xml:space="preserve"> NFLA, Newry, 7th Dec, 2018.</t>
        </r>
      </text>
    </comment>
    <comment ref="E10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€558.13 </t>
        </r>
        <r>
          <rPr>
            <sz val="9"/>
            <rFont val="Tahoma"/>
            <family val="2"/>
          </rPr>
          <t>NFLA, Newry 7th Dec, 2018.</t>
        </r>
      </text>
    </comment>
    <comment ref="E35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€692.45</t>
        </r>
        <r>
          <rPr>
            <sz val="9"/>
            <rFont val="Tahoma"/>
            <family val="2"/>
          </rPr>
          <t xml:space="preserve"> NFLA 2018, Newry, 7th Dec, 2018.</t>
        </r>
      </text>
    </comment>
    <comment ref="B3" authorId="0">
      <text>
        <r>
          <rPr>
            <b/>
            <sz val="9"/>
            <rFont val="Tahoma"/>
            <family val="2"/>
          </rPr>
          <t>grace.hourigan: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€600</t>
        </r>
        <r>
          <rPr>
            <sz val="9"/>
            <rFont val="Tahoma"/>
            <family val="2"/>
          </rPr>
          <t xml:space="preserve"> Refund of Vouched expenses for Cllr. Seamus Browne.  July to Dec 2018.
</t>
        </r>
        <r>
          <rPr>
            <b/>
            <sz val="9"/>
            <rFont val="Tahoma"/>
            <family val="2"/>
          </rPr>
          <t xml:space="preserve">€500.59 </t>
        </r>
        <r>
          <rPr>
            <sz val="9"/>
            <rFont val="Tahoma"/>
            <family val="2"/>
          </rPr>
          <t>Monthly Expense</t>
        </r>
      </text>
    </comment>
    <comment ref="C5" authorId="1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€2615.64 </t>
        </r>
        <r>
          <rPr>
            <sz val="8"/>
            <rFont val="Tahoma"/>
            <family val="2"/>
          </rPr>
          <t>for both payment of arrears for Dec of €1307.82 and payment of January rep payment of €1307.82.</t>
        </r>
      </text>
    </comment>
  </commentList>
</comments>
</file>

<file path=xl/comments2.xml><?xml version="1.0" encoding="utf-8"?>
<comments xmlns="http://schemas.openxmlformats.org/spreadsheetml/2006/main">
  <authors>
    <author>Hourigan, Grace</author>
  </authors>
  <commentList>
    <comment ref="F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€1423.59</t>
        </r>
        <r>
          <rPr>
            <sz val="8"/>
            <rFont val="Tahoma"/>
            <family val="2"/>
          </rPr>
          <t xml:space="preserve"> Smart Expo World Congress, Barcelona, Spain.  11th to 14th Nov, 2018.
</t>
        </r>
        <r>
          <rPr>
            <b/>
            <sz val="8"/>
            <rFont val="Tahoma"/>
            <family val="2"/>
          </rPr>
          <t xml:space="preserve">€1713.25 </t>
        </r>
        <r>
          <rPr>
            <sz val="8"/>
            <rFont val="Tahoma"/>
            <family val="2"/>
          </rPr>
          <t>Change Summit, Paris, France.  27th to 30th Sep, 2018.</t>
        </r>
      </text>
    </comment>
    <comment ref="B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€500.59</t>
        </r>
        <r>
          <rPr>
            <sz val="8"/>
            <rFont val="Tahoma"/>
            <family val="2"/>
          </rPr>
          <t xml:space="preserve"> Monthly Expense.  
</t>
        </r>
        <r>
          <rPr>
            <b/>
            <sz val="8"/>
            <rFont val="Tahoma"/>
            <family val="2"/>
          </rPr>
          <t xml:space="preserve">€1383.99 </t>
        </r>
        <r>
          <rPr>
            <sz val="8"/>
            <rFont val="Tahoma"/>
            <family val="2"/>
          </rPr>
          <t>Home Printer and Laptop.</t>
        </r>
      </text>
    </comment>
    <comment ref="L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€121.99</t>
        </r>
        <r>
          <rPr>
            <sz val="8"/>
            <rFont val="Tahoma"/>
            <family val="2"/>
          </rPr>
          <t xml:space="preserve"> Mobile Bills Sep to Dec 18.</t>
        </r>
      </text>
    </comment>
    <comment ref="L1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€207.45</t>
        </r>
        <r>
          <rPr>
            <sz val="8"/>
            <rFont val="Tahoma"/>
            <family val="2"/>
          </rPr>
          <t xml:space="preserve"> Mobile Bills June to Nov 2018.</t>
        </r>
      </text>
    </comment>
    <comment ref="L3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€229.15</t>
        </r>
        <r>
          <rPr>
            <sz val="8"/>
            <rFont val="Tahoma"/>
            <family val="2"/>
          </rPr>
          <t xml:space="preserve"> Mobile Bills July to Nov 2018.</t>
        </r>
      </text>
    </comment>
    <comment ref="K3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€150.00 </t>
        </r>
        <r>
          <rPr>
            <sz val="8"/>
            <rFont val="Tahoma"/>
            <family val="2"/>
          </rPr>
          <t>Wifi Bills July to Dec 2018</t>
        </r>
      </text>
    </comment>
    <comment ref="L15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€102.94 Mobile Bills Jan 2018.  Mar to May 2018.  Oct to Nov, 2018.</t>
        </r>
      </text>
    </comment>
    <comment ref="K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€150.00</t>
        </r>
        <r>
          <rPr>
            <sz val="8"/>
            <rFont val="Tahoma"/>
            <family val="2"/>
          </rPr>
          <t xml:space="preserve"> Wifi Bills July to Dec, 2018.</t>
        </r>
      </text>
    </comment>
    <comment ref="L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€49.92 </t>
        </r>
        <r>
          <rPr>
            <sz val="8"/>
            <rFont val="Tahoma"/>
            <family val="2"/>
          </rPr>
          <t xml:space="preserve">Mobile Bills Aug to Dec, 2018.
</t>
        </r>
        <r>
          <rPr>
            <b/>
            <sz val="8"/>
            <rFont val="Tahoma"/>
            <family val="2"/>
          </rPr>
          <t>€216.80</t>
        </r>
        <r>
          <rPr>
            <sz val="8"/>
            <rFont val="Tahoma"/>
            <family val="2"/>
          </rPr>
          <t xml:space="preserve"> Paid balance for upgrade on Mobile Phone.  This is 50% of the balance that he paid.</t>
        </r>
      </text>
    </comment>
    <comment ref="K1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€275.00</t>
        </r>
        <r>
          <rPr>
            <sz val="8"/>
            <rFont val="Tahoma"/>
            <family val="2"/>
          </rPr>
          <t xml:space="preserve"> Wifi Bills Jan 2018.  March to Dec, 2018.</t>
        </r>
      </text>
    </comment>
    <comment ref="L1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€171.50</t>
        </r>
        <r>
          <rPr>
            <sz val="8"/>
            <rFont val="Tahoma"/>
            <family val="2"/>
          </rPr>
          <t xml:space="preserve"> Aug to Oct 2018.  Dec, 2018.</t>
        </r>
      </text>
    </comment>
    <comment ref="L2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€150</t>
        </r>
        <r>
          <rPr>
            <sz val="8"/>
            <rFont val="Tahoma"/>
            <family val="2"/>
          </rPr>
          <t xml:space="preserve"> purchase of Printer.</t>
        </r>
      </text>
    </comment>
    <comment ref="L2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€150.00 Printer Allowance</t>
        </r>
      </text>
    </comment>
    <comment ref="L35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€74.37 </t>
        </r>
        <r>
          <rPr>
            <sz val="8"/>
            <rFont val="Tahoma"/>
            <family val="2"/>
          </rPr>
          <t>Mobile bills July to Dec, 2018.</t>
        </r>
      </text>
    </comment>
    <comment ref="L1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€58.33</t>
        </r>
        <r>
          <rPr>
            <sz val="8"/>
            <rFont val="Tahoma"/>
            <family val="2"/>
          </rPr>
          <t xml:space="preserve"> Mobile Bills July to Dec 2018.</t>
        </r>
      </text>
    </comment>
    <comment ref="E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€537.67 </t>
        </r>
        <r>
          <rPr>
            <sz val="8"/>
            <rFont val="Tahoma"/>
            <family val="2"/>
          </rPr>
          <t xml:space="preserve">Papal visit Mass, Dublin.  25th to 26th Aug 2018.
</t>
        </r>
        <r>
          <rPr>
            <b/>
            <sz val="8"/>
            <rFont val="Tahoma"/>
            <family val="2"/>
          </rPr>
          <t>€425.35</t>
        </r>
        <r>
          <rPr>
            <sz val="8"/>
            <rFont val="Tahoma"/>
            <family val="2"/>
          </rPr>
          <t xml:space="preserve"> Deputising for Mayor National Enterprise Awards, Kilkenny.  28th Nov, 2018.
</t>
        </r>
        <r>
          <rPr>
            <b/>
            <sz val="8"/>
            <rFont val="Tahoma"/>
            <family val="2"/>
          </rPr>
          <t>€481.28</t>
        </r>
        <r>
          <rPr>
            <sz val="8"/>
            <rFont val="Tahoma"/>
            <family val="2"/>
          </rPr>
          <t xml:space="preserve"> Citizens Dialogue on Europe, Letterkenny, Donegal. 8th March, 2018.
</t>
        </r>
        <r>
          <rPr>
            <b/>
            <sz val="8"/>
            <rFont val="Tahoma"/>
            <family val="2"/>
          </rPr>
          <t xml:space="preserve">€533.00 </t>
        </r>
        <r>
          <rPr>
            <sz val="8"/>
            <rFont val="Tahoma"/>
            <family val="2"/>
          </rPr>
          <t xml:space="preserve">Annual Commemoration and Wreath Laying, Islandbridge, Dublin.  7th July, 2018.
</t>
        </r>
        <r>
          <rPr>
            <b/>
            <sz val="8"/>
            <rFont val="Tahoma"/>
            <family val="2"/>
          </rPr>
          <t xml:space="preserve">€503.86 </t>
        </r>
        <r>
          <rPr>
            <sz val="8"/>
            <rFont val="Tahoma"/>
            <family val="2"/>
          </rPr>
          <t xml:space="preserve">Smart Towns and Villages, Lough Rynn Castle, Mohill, Leitrim. 22nd Oct, 2018.
</t>
        </r>
        <r>
          <rPr>
            <b/>
            <sz val="8"/>
            <rFont val="Tahoma"/>
            <family val="2"/>
          </rPr>
          <t>€528.92</t>
        </r>
        <r>
          <rPr>
            <sz val="8"/>
            <rFont val="Tahoma"/>
            <family val="2"/>
          </rPr>
          <t xml:space="preserve"> AILG 6, Cavan.  22nd Nov, 2018.
</t>
        </r>
        <r>
          <rPr>
            <b/>
            <sz val="8"/>
            <rFont val="Tahoma"/>
            <family val="2"/>
          </rPr>
          <t xml:space="preserve">€432.12 </t>
        </r>
        <r>
          <rPr>
            <sz val="8"/>
            <rFont val="Tahoma"/>
            <family val="2"/>
          </rPr>
          <t xml:space="preserve">AILG 1, Mullingar Park Hotel, Westmeath. 22nd Feb, 2018.
</t>
        </r>
        <r>
          <rPr>
            <b/>
            <sz val="8"/>
            <rFont val="Tahoma"/>
            <family val="2"/>
          </rPr>
          <t xml:space="preserve">€528.92 </t>
        </r>
        <r>
          <rPr>
            <sz val="8"/>
            <rFont val="Tahoma"/>
            <family val="2"/>
          </rPr>
          <t xml:space="preserve">Housing Conference 2018.  Radisson Blu, Dublin 4th Dec, 2018.
</t>
        </r>
        <r>
          <rPr>
            <b/>
            <sz val="8"/>
            <rFont val="Tahoma"/>
            <family val="2"/>
          </rPr>
          <t>€541.36</t>
        </r>
        <r>
          <rPr>
            <sz val="8"/>
            <rFont val="Tahoma"/>
            <family val="2"/>
          </rPr>
          <t xml:space="preserve"> Project Ireland 2040, Dublin 1.  31st May, 2018.
</t>
        </r>
        <r>
          <rPr>
            <b/>
            <sz val="8"/>
            <rFont val="Tahoma"/>
            <family val="2"/>
          </rPr>
          <t>€428.66 A</t>
        </r>
        <r>
          <rPr>
            <sz val="8"/>
            <rFont val="Tahoma"/>
            <family val="2"/>
          </rPr>
          <t xml:space="preserve">ILG Annual Training Conference 2018.  Dungarvan, Co. Waterford.  12th and 13th April, 2018.
</t>
        </r>
        <r>
          <rPr>
            <b/>
            <sz val="8"/>
            <rFont val="Tahoma"/>
            <family val="2"/>
          </rPr>
          <t xml:space="preserve">€470.96 </t>
        </r>
        <r>
          <rPr>
            <sz val="8"/>
            <rFont val="Tahoma"/>
            <family val="2"/>
          </rPr>
          <t xml:space="preserve">NFLA Newry, 7th Dec, 2018.
</t>
        </r>
        <r>
          <rPr>
            <b/>
            <sz val="8"/>
            <rFont val="Tahoma"/>
            <family val="2"/>
          </rPr>
          <t>€302.41</t>
        </r>
        <r>
          <rPr>
            <sz val="8"/>
            <rFont val="Tahoma"/>
            <family val="2"/>
          </rPr>
          <t xml:space="preserve"> AILG Module 5, Sligo Park Hotel, 13th Oct, 18.
</t>
        </r>
        <r>
          <rPr>
            <b/>
            <sz val="8"/>
            <rFont val="Tahoma"/>
            <family val="2"/>
          </rPr>
          <t>€362.17</t>
        </r>
        <r>
          <rPr>
            <sz val="8"/>
            <rFont val="Tahoma"/>
            <family val="2"/>
          </rPr>
          <t xml:space="preserve"> PPN Conference, Athlone, Co. Westmeath. 11th and 12th Oct, 18.
</t>
        </r>
        <r>
          <rPr>
            <b/>
            <sz val="8"/>
            <rFont val="Tahoma"/>
            <family val="2"/>
          </rPr>
          <t>€383.42</t>
        </r>
        <r>
          <rPr>
            <sz val="8"/>
            <rFont val="Tahoma"/>
            <family val="2"/>
          </rPr>
          <t xml:space="preserve"> AILG Autumn Training 2018.  Monaghan. 25th and 26th Oct, 18.
</t>
        </r>
        <r>
          <rPr>
            <b/>
            <sz val="8"/>
            <rFont val="Tahoma"/>
            <family val="2"/>
          </rPr>
          <t>€464.75</t>
        </r>
        <r>
          <rPr>
            <sz val="8"/>
            <rFont val="Tahoma"/>
            <family val="2"/>
          </rPr>
          <t xml:space="preserve"> LAMA Spring Seminar, 2018.  6th and 7th April, 2018.
</t>
        </r>
        <r>
          <rPr>
            <b/>
            <sz val="8"/>
            <rFont val="Tahoma"/>
            <family val="2"/>
          </rPr>
          <t xml:space="preserve">€287.05 </t>
        </r>
        <r>
          <rPr>
            <sz val="8"/>
            <rFont val="Tahoma"/>
            <family val="2"/>
          </rPr>
          <t>EPA Climate Lecture, Dublin 2, 15th May, 18.</t>
        </r>
      </text>
    </comment>
    <comment ref="D2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€250.02</t>
        </r>
        <r>
          <rPr>
            <sz val="8"/>
            <rFont val="Tahoma"/>
            <family val="2"/>
          </rPr>
          <t xml:space="preserve"> Conference The Finance Act, 2018.  Carlingford, 11th to 13th Jan, 2019.
</t>
        </r>
      </text>
    </comment>
    <comment ref="F6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€3446.75 </t>
        </r>
        <r>
          <rPr>
            <sz val="8"/>
            <rFont val="Tahoma"/>
            <family val="2"/>
          </rPr>
          <t xml:space="preserve">Economic and Cultural Memorandum of Understanding between Limk and Austin, Texas.  15th to 19th Jan, 2019.
</t>
        </r>
        <r>
          <rPr>
            <b/>
            <sz val="8"/>
            <rFont val="Tahoma"/>
            <family val="2"/>
          </rPr>
          <t xml:space="preserve">€2069.53 </t>
        </r>
        <r>
          <rPr>
            <sz val="8"/>
            <rFont val="Tahoma"/>
            <family val="2"/>
          </rPr>
          <t>Economic and Cultural Memo between Limk and Hangzhou, China. 1st to 6th Dec, 2018.</t>
        </r>
      </text>
    </comment>
    <comment ref="E1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€214.64</t>
        </r>
        <r>
          <rPr>
            <sz val="8"/>
            <rFont val="Tahoma"/>
            <family val="2"/>
          </rPr>
          <t xml:space="preserve"> Getting Ireland Brexit Ready, Cork.  5th Oct, 2018.</t>
        </r>
      </text>
    </comment>
    <comment ref="E2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€284.59</t>
        </r>
        <r>
          <rPr>
            <sz val="8"/>
            <rFont val="Tahoma"/>
            <family val="2"/>
          </rPr>
          <t xml:space="preserve"> Housing Conference 2018.  Dublin 4th Dec, 2018.
</t>
        </r>
        <r>
          <rPr>
            <b/>
            <sz val="8"/>
            <rFont val="Tahoma"/>
            <family val="2"/>
          </rPr>
          <t>€559.85</t>
        </r>
        <r>
          <rPr>
            <sz val="8"/>
            <rFont val="Tahoma"/>
            <family val="2"/>
          </rPr>
          <t xml:space="preserve"> NFLA, O'Hagan House, Newry, 7th Dec, 2018.
</t>
        </r>
        <r>
          <rPr>
            <b/>
            <sz val="8"/>
            <rFont val="Tahoma"/>
            <family val="2"/>
          </rPr>
          <t xml:space="preserve">€89.33 </t>
        </r>
        <r>
          <rPr>
            <sz val="8"/>
            <rFont val="Tahoma"/>
            <family val="2"/>
          </rPr>
          <t>Getting Ire. Brexit Ready, Pairc Ui Chaoimh, Cork. 5th Oct, 18.</t>
        </r>
      </text>
    </comment>
    <comment ref="D4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€250.02 </t>
        </r>
        <r>
          <rPr>
            <sz val="8"/>
            <rFont val="Tahoma"/>
            <family val="2"/>
          </rPr>
          <t>Conference The Finance Act, 2018.  Carlingford, 11th to 13th Jan, 2019.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Hourigan, Grace:
€756.77 </t>
        </r>
        <r>
          <rPr>
            <sz val="8"/>
            <rFont val="Tahoma"/>
            <family val="2"/>
          </rPr>
          <t>NFLA, O'Hagan House, Newry, 7th Dec, 2018.</t>
        </r>
      </text>
    </comment>
    <comment ref="E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€788.71</t>
        </r>
        <r>
          <rPr>
            <sz val="8"/>
            <rFont val="Tahoma"/>
            <family val="2"/>
          </rPr>
          <t xml:space="preserve"> NFLA, O'Hagan House, Newry, 7th Dec, 2018.</t>
        </r>
      </text>
    </comment>
    <comment ref="E30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€152.75 </t>
        </r>
        <r>
          <rPr>
            <sz val="8"/>
            <rFont val="Tahoma"/>
            <family val="2"/>
          </rPr>
          <t xml:space="preserve">IPB Insurance's Members Engagement Forum, Athlone, 26th Oct, 2018.
</t>
        </r>
        <r>
          <rPr>
            <b/>
            <sz val="8"/>
            <rFont val="Tahoma"/>
            <family val="2"/>
          </rPr>
          <t>€214.88</t>
        </r>
        <r>
          <rPr>
            <sz val="8"/>
            <rFont val="Tahoma"/>
            <family val="2"/>
          </rPr>
          <t xml:space="preserve"> IPB Ashling Hotel, Dub 8.  27th April, 2018.</t>
        </r>
      </text>
    </comment>
    <comment ref="D27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€112.20</t>
        </r>
        <r>
          <rPr>
            <sz val="8"/>
            <rFont val="Tahoma"/>
            <family val="2"/>
          </rPr>
          <t xml:space="preserve"> Conference Approaches in Contemporary River Mgt, Clonakilty, Co. Cork.  7th to 9th Dec, 2018.</t>
        </r>
      </text>
    </comment>
    <comment ref="D1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€599.78</t>
        </r>
        <r>
          <rPr>
            <sz val="8"/>
            <rFont val="Tahoma"/>
            <family val="2"/>
          </rPr>
          <t xml:space="preserve"> Conference EU Cohesion Policy 2014-2020, Carlingford, 14th to 16th Dec, 2018.  </t>
        </r>
      </text>
    </comment>
    <comment ref="D13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€599.53 </t>
        </r>
        <r>
          <rPr>
            <sz val="8"/>
            <rFont val="Tahoma"/>
            <family val="2"/>
          </rPr>
          <t>Conference EU Cohesion Policy 2014 to 2020, Carlingford, 14th to 16th Dec, 2018.</t>
        </r>
      </text>
    </comment>
    <comment ref="D11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€517.86</t>
        </r>
        <r>
          <rPr>
            <sz val="8"/>
            <rFont val="Tahoma"/>
            <family val="2"/>
          </rPr>
          <t xml:space="preserve"> Conference Entitlement to Health Services, Clonakilty, Co. Cork.  21st to 23rd Dec, 2018.</t>
        </r>
      </text>
    </comment>
    <comment ref="F34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€884.28 </t>
        </r>
        <r>
          <rPr>
            <sz val="8"/>
            <rFont val="Tahoma"/>
            <family val="2"/>
          </rPr>
          <t xml:space="preserve">Limerick Association of London Social Evening, Cricklewood, London, England.  26th to 27th January, 2019.  </t>
        </r>
      </text>
    </comment>
    <comment ref="D39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€250.02 </t>
        </r>
        <r>
          <rPr>
            <sz val="8"/>
            <rFont val="Tahoma"/>
            <family val="2"/>
          </rPr>
          <t>Conference - The Finance Act, 2018.  The Four Seasons Hotel, Carlingford, Co. Louth.  11th to 13th Jan, 2019.</t>
        </r>
      </text>
    </comment>
    <comment ref="E3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€327.96</t>
        </r>
        <r>
          <rPr>
            <sz val="8"/>
            <rFont val="Tahoma"/>
            <family val="2"/>
          </rPr>
          <t xml:space="preserve"> Training - Nuclear Free Local Authorities, Newry, Co. Down.
</t>
        </r>
        <r>
          <rPr>
            <b/>
            <sz val="8"/>
            <rFont val="Tahoma"/>
            <family val="2"/>
          </rPr>
          <t>€82.98</t>
        </r>
        <r>
          <rPr>
            <sz val="8"/>
            <rFont val="Tahoma"/>
            <family val="2"/>
          </rPr>
          <t xml:space="preserve"> AILG Module 1, Horse and Jockey, 24th Jan, 19.</t>
        </r>
      </text>
    </comment>
    <comment ref="E39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€656.28 </t>
        </r>
        <r>
          <rPr>
            <sz val="8"/>
            <rFont val="Tahoma"/>
            <family val="2"/>
          </rPr>
          <t xml:space="preserve">Training - Nuclear Free Local Authorities, Monaghan Row, Newry, 7th December, 2018.
</t>
        </r>
        <r>
          <rPr>
            <b/>
            <sz val="8"/>
            <rFont val="Tahoma"/>
            <family val="2"/>
          </rPr>
          <t>€267.36</t>
        </r>
        <r>
          <rPr>
            <sz val="8"/>
            <rFont val="Tahoma"/>
            <family val="2"/>
          </rPr>
          <t xml:space="preserve"> AILG Module 1, Mullingar Park Hotel, 19th Jan, 19.
</t>
        </r>
        <r>
          <rPr>
            <b/>
            <sz val="8"/>
            <rFont val="Tahoma"/>
            <family val="2"/>
          </rPr>
          <t>€379.85</t>
        </r>
        <r>
          <rPr>
            <sz val="8"/>
            <rFont val="Tahoma"/>
            <family val="2"/>
          </rPr>
          <t xml:space="preserve"> AILG Training Conference 2019.  Longford Arms Hotel, 21st and 22nd Feb, 19.</t>
        </r>
      </text>
    </comment>
    <comment ref="L3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€178.35 </t>
        </r>
        <r>
          <rPr>
            <sz val="8"/>
            <rFont val="Tahoma"/>
            <family val="2"/>
          </rPr>
          <t xml:space="preserve">Purchase of mobile phone.  He is entitled to 50% of the balance he paid.
</t>
        </r>
        <r>
          <rPr>
            <b/>
            <sz val="8"/>
            <rFont val="Tahoma"/>
            <family val="2"/>
          </rPr>
          <t xml:space="preserve">€73.26 </t>
        </r>
        <r>
          <rPr>
            <sz val="8"/>
            <rFont val="Tahoma"/>
            <family val="2"/>
          </rPr>
          <t xml:space="preserve">Mobile Bills from July to Dec, 2018.  </t>
        </r>
      </text>
    </comment>
    <comment ref="C5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€2615.64 </t>
        </r>
        <r>
          <rPr>
            <sz val="8"/>
            <rFont val="Tahoma"/>
            <family val="2"/>
          </rPr>
          <t>for both payment of arrears for Dec of €1307.82 and payment of January rep payment of €1307.82.</t>
        </r>
      </text>
    </comment>
    <comment ref="D32" authorId="0">
      <text>
        <r>
          <rPr>
            <b/>
            <sz val="8"/>
            <rFont val="Tahoma"/>
            <family val="2"/>
          </rPr>
          <t>Hourigan, Grace: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€699.92</t>
        </r>
        <r>
          <rPr>
            <sz val="8"/>
            <rFont val="Tahoma"/>
            <family val="2"/>
          </rPr>
          <t xml:space="preserve"> Conference Eurocities Creative Competitive Cities, 2018.  Edinburgh, Scotland.</t>
        </r>
      </text>
    </comment>
    <comment ref="E2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€279.90</t>
        </r>
        <r>
          <rPr>
            <sz val="9"/>
            <rFont val="Tahoma"/>
            <family val="2"/>
          </rPr>
          <t xml:space="preserve"> AILG Module 1, Mullingar Park Hotel, Co. Westmeath.
</t>
        </r>
        <r>
          <rPr>
            <b/>
            <sz val="9"/>
            <rFont val="Tahoma"/>
            <family val="2"/>
          </rPr>
          <t xml:space="preserve">€426.44 </t>
        </r>
        <r>
          <rPr>
            <sz val="9"/>
            <rFont val="Tahoma"/>
            <family val="2"/>
          </rPr>
          <t>AILG Annual Conference 2019.  Longford Arms Hotel, 21s and 22nd Feb, 2019.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€267.81 </t>
        </r>
        <r>
          <rPr>
            <sz val="9"/>
            <rFont val="Tahoma"/>
            <family val="2"/>
          </rPr>
          <t>AILG Module 1, Mullingar Park Hotel, Co. Westmeath.</t>
        </r>
      </text>
    </comment>
    <comment ref="E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€438.98 </t>
        </r>
        <r>
          <rPr>
            <sz val="9"/>
            <rFont val="Tahoma"/>
            <family val="2"/>
          </rPr>
          <t xml:space="preserve">AILG Annual Conference 2019.  Longford Arms Hotel, 21st and 22nd Feb, 2019.  
</t>
        </r>
        <r>
          <rPr>
            <b/>
            <sz val="9"/>
            <rFont val="Tahoma"/>
            <family val="2"/>
          </rPr>
          <t xml:space="preserve">€395.50 </t>
        </r>
        <r>
          <rPr>
            <sz val="9"/>
            <rFont val="Tahoma"/>
            <family val="2"/>
          </rPr>
          <t>NFLA Newry, 7th Dec, 2018.</t>
        </r>
      </text>
    </comment>
    <comment ref="L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€192.07</t>
        </r>
        <r>
          <rPr>
            <sz val="9"/>
            <rFont val="Tahoma"/>
            <family val="2"/>
          </rPr>
          <t xml:space="preserve"> Mobile Phone Bills Aug to Dec, 2018.</t>
        </r>
      </text>
    </comment>
    <comment ref="K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€125.00</t>
        </r>
        <r>
          <rPr>
            <sz val="9"/>
            <rFont val="Tahoma"/>
            <family val="2"/>
          </rPr>
          <t xml:space="preserve"> Wifi Bills Aug to Dec, 2018.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€326.16</t>
        </r>
        <r>
          <rPr>
            <sz val="9"/>
            <rFont val="Tahoma"/>
            <family val="2"/>
          </rPr>
          <t xml:space="preserve"> AILG Annual Training Conference 2019.  Longford Arms Hotel, 21st and 22nd Feb, 2019.
</t>
        </r>
        <r>
          <rPr>
            <b/>
            <sz val="9"/>
            <rFont val="Tahoma"/>
            <family val="2"/>
          </rPr>
          <t>€313.05</t>
        </r>
        <r>
          <rPr>
            <sz val="9"/>
            <rFont val="Tahoma"/>
            <family val="2"/>
          </rPr>
          <t xml:space="preserve"> AILG Module 1, Mullingar Park Hotel, Co. Westmeath.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€97.09 A</t>
        </r>
        <r>
          <rPr>
            <sz val="9"/>
            <rFont val="Tahoma"/>
            <family val="2"/>
          </rPr>
          <t xml:space="preserve">ILG Module 1, Horse and Jockey, Tipperary.  24th Jan, 2019.
</t>
        </r>
        <r>
          <rPr>
            <b/>
            <sz val="9"/>
            <rFont val="Tahoma"/>
            <family val="2"/>
          </rPr>
          <t xml:space="preserve">€380.75 </t>
        </r>
        <r>
          <rPr>
            <sz val="9"/>
            <rFont val="Tahoma"/>
            <family val="2"/>
          </rPr>
          <t>AILG Conference 2019.  Longford Arms Hotel, Longford.  21st and 22nd Feb, 2019.</t>
        </r>
      </text>
    </comment>
    <comment ref="E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€87.36 </t>
        </r>
        <r>
          <rPr>
            <sz val="9"/>
            <rFont val="Tahoma"/>
            <family val="2"/>
          </rPr>
          <t>AILG Module 1, Horse and Jockey Hotel, Tipperary, 24th January 2019.</t>
        </r>
      </text>
    </comment>
  </commentList>
</comments>
</file>

<file path=xl/comments3.xml><?xml version="1.0" encoding="utf-8"?>
<comments xmlns="http://schemas.openxmlformats.org/spreadsheetml/2006/main">
  <authors>
    <author>Hourigan, Grace</author>
  </authors>
  <commentList>
    <comment ref="B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€465.59 due to €35 Lama Deduction.
€450.00 Vouched Expenses in March for Advertising and Table and Chair.</t>
        </r>
      </text>
    </comment>
    <comment ref="E2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€57.78 </t>
        </r>
        <r>
          <rPr>
            <sz val="9"/>
            <rFont val="Tahoma"/>
            <family val="2"/>
          </rPr>
          <t xml:space="preserve">AILG Module 1, Thurles, Tipperary, 24th Jan, 2019.
</t>
        </r>
        <r>
          <rPr>
            <b/>
            <sz val="9"/>
            <rFont val="Tahoma"/>
            <family val="2"/>
          </rPr>
          <t xml:space="preserve">€281.48 </t>
        </r>
        <r>
          <rPr>
            <sz val="9"/>
            <rFont val="Tahoma"/>
            <family val="2"/>
          </rPr>
          <t>AILG Annual Conference 2019, Longford.  21st and 22nd Feb, 2019.</t>
        </r>
      </text>
    </comment>
    <comment ref="E1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€391.50 </t>
        </r>
        <r>
          <rPr>
            <sz val="9"/>
            <rFont val="Tahoma"/>
            <family val="2"/>
          </rPr>
          <t>AILG Conference, 2019. Longford, 21st and 22nd Feb, 2019.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€271.62 </t>
        </r>
        <r>
          <rPr>
            <sz val="9"/>
            <rFont val="Tahoma"/>
            <family val="2"/>
          </rPr>
          <t>AILG Conference 2019. Main St, Longford.  21st and 22nd Feb, 2019.</t>
        </r>
      </text>
    </comment>
    <comment ref="D2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€250.02</t>
        </r>
        <r>
          <rPr>
            <sz val="9"/>
            <rFont val="Tahoma"/>
            <family val="2"/>
          </rPr>
          <t xml:space="preserve"> Good Governance of Community, Voluntary &amp; Charitable Organisations in Ireland, Clonakilty, Co. Cork. 22nd to 24th Feb, 2019.</t>
        </r>
      </text>
    </comment>
    <comment ref="E3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€303.19 </t>
        </r>
        <r>
          <rPr>
            <sz val="9"/>
            <rFont val="Tahoma"/>
            <family val="2"/>
          </rPr>
          <t>AILG Conference 2019.  Main St, Longord.  21st and 22nd Feb, 2019.</t>
        </r>
      </text>
    </comment>
    <comment ref="E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€370.74 </t>
        </r>
        <r>
          <rPr>
            <sz val="9"/>
            <rFont val="Tahoma"/>
            <family val="2"/>
          </rPr>
          <t xml:space="preserve">AILG Annual Conference, 2019.  Main St, Longford, 21st and 22nd Feb, 19.
</t>
        </r>
        <r>
          <rPr>
            <b/>
            <sz val="9"/>
            <rFont val="Tahoma"/>
            <family val="2"/>
          </rPr>
          <t>€403.43</t>
        </r>
        <r>
          <rPr>
            <sz val="9"/>
            <rFont val="Tahoma"/>
            <family val="2"/>
          </rPr>
          <t xml:space="preserve"> LAMA Spring Training Seminar, Carrick on Shannon, Co. Leitrim. 7th &amp; 8th Mar, 2019.</t>
        </r>
      </text>
    </comment>
    <comment ref="F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€1683.49 </t>
        </r>
        <r>
          <rPr>
            <sz val="9"/>
            <rFont val="Tahoma"/>
            <family val="2"/>
          </rPr>
          <t>Queens New York, 6th to 10th Feb, 2019.</t>
        </r>
      </text>
    </comment>
    <comment ref="L2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€96.79</t>
        </r>
        <r>
          <rPr>
            <sz val="9"/>
            <rFont val="Tahoma"/>
            <family val="2"/>
          </rPr>
          <t xml:space="preserve"> Moible phone Bills Nov 17. Sep 18 to Mar,19.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€385.18 </t>
        </r>
        <r>
          <rPr>
            <sz val="9"/>
            <rFont val="Tahoma"/>
            <family val="2"/>
          </rPr>
          <t>LAMA Spring Seminar, Co. Leitrim. 7th and 8th Mar, 2019.</t>
        </r>
      </text>
    </comment>
    <comment ref="E2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€425.54 </t>
        </r>
        <r>
          <rPr>
            <sz val="9"/>
            <rFont val="Tahoma"/>
            <family val="2"/>
          </rPr>
          <t>LAMA Spring Seminar, Co. Leitrim. 7th &amp; 8th Mar, 2019.</t>
        </r>
      </text>
    </comment>
    <comment ref="E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€424.64</t>
        </r>
        <r>
          <rPr>
            <sz val="9"/>
            <rFont val="Tahoma"/>
            <family val="2"/>
          </rPr>
          <t xml:space="preserve"> LAMA Spring Seminar, Co. Leitrim.  7th &amp; 8th Mar, 2019.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€401.22 </t>
        </r>
        <r>
          <rPr>
            <sz val="9"/>
            <rFont val="Tahoma"/>
            <family val="2"/>
          </rPr>
          <t xml:space="preserve">LAMA Spring Training Seminar, Carrick on Shannon, Co. Leitrim.  7th &amp; 8th Mar, 2019.
</t>
        </r>
        <r>
          <rPr>
            <b/>
            <sz val="9"/>
            <rFont val="Tahoma"/>
            <family val="2"/>
          </rPr>
          <t xml:space="preserve">€363.27 </t>
        </r>
        <r>
          <rPr>
            <sz val="9"/>
            <rFont val="Tahoma"/>
            <family val="2"/>
          </rPr>
          <t>AILG Annual Conference, 2019.  Main St, Longford. 21st &amp; 22nd Feb, 2019.</t>
        </r>
      </text>
    </comment>
    <comment ref="E1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€478.39</t>
        </r>
        <r>
          <rPr>
            <sz val="9"/>
            <rFont val="Tahoma"/>
            <family val="2"/>
          </rPr>
          <t xml:space="preserve"> LAMA Spring Seminar, Co. Leitrim. 7th &amp; 8th Mar, 2019.
</t>
        </r>
        <r>
          <rPr>
            <b/>
            <sz val="9"/>
            <rFont val="Tahoma"/>
            <family val="2"/>
          </rPr>
          <t>€439.87</t>
        </r>
        <r>
          <rPr>
            <sz val="9"/>
            <rFont val="Tahoma"/>
            <family val="2"/>
          </rPr>
          <t xml:space="preserve"> AILG Annual Conference 2019.  Main St. Longford. 21st &amp; 22nd Feb, 19.</t>
        </r>
      </text>
    </comment>
    <comment ref="F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€2286.91</t>
        </r>
        <r>
          <rPr>
            <sz val="9"/>
            <rFont val="Tahoma"/>
            <family val="2"/>
          </rPr>
          <t xml:space="preserve"> New York from 14th to 18th Mar, 2019.</t>
        </r>
      </text>
    </comment>
    <comment ref="F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€2316.25 </t>
        </r>
        <r>
          <rPr>
            <sz val="9"/>
            <rFont val="Tahoma"/>
            <family val="2"/>
          </rPr>
          <t>New York 14th to 18th March, 2019.</t>
        </r>
      </text>
    </comment>
    <comment ref="F1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€2298.51</t>
        </r>
        <r>
          <rPr>
            <sz val="9"/>
            <rFont val="Tahoma"/>
            <family val="2"/>
          </rPr>
          <t xml:space="preserve"> New York from 14th to 18th Mar, 2019.</t>
        </r>
      </text>
    </comment>
  </commentList>
</comments>
</file>

<file path=xl/comments4.xml><?xml version="1.0" encoding="utf-8"?>
<comments xmlns="http://schemas.openxmlformats.org/spreadsheetml/2006/main">
  <authors>
    <author>Hourigan, Grace</author>
  </authors>
  <commentList>
    <comment ref="E2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€238.69 AILG</t>
        </r>
        <r>
          <rPr>
            <sz val="9"/>
            <rFont val="Tahoma"/>
            <family val="2"/>
          </rPr>
          <t xml:space="preserve"> Module 2, Dungarvan, Co. Waterford.  21.03.19.</t>
        </r>
      </text>
    </comment>
    <comment ref="E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€247.10 </t>
        </r>
        <r>
          <rPr>
            <sz val="9"/>
            <rFont val="Tahoma"/>
            <family val="2"/>
          </rPr>
          <t>AILG Module 2, Dungarvan, Co. Waterford. 21.03.19</t>
        </r>
      </text>
    </comment>
    <comment ref="E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€229.74 </t>
        </r>
        <r>
          <rPr>
            <sz val="9"/>
            <rFont val="Tahoma"/>
            <family val="2"/>
          </rPr>
          <t>AILG Module 2, Dungarvan, Co. Waterford.  21.03.19.</t>
        </r>
      </text>
    </comment>
    <comment ref="E3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€330.33 AILG</t>
        </r>
        <r>
          <rPr>
            <sz val="9"/>
            <rFont val="Tahoma"/>
            <family val="2"/>
          </rPr>
          <t xml:space="preserve"> Module 2, Arklow, Co. Wicklow.</t>
        </r>
      </text>
    </comment>
    <comment ref="E1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€235.11 </t>
        </r>
        <r>
          <rPr>
            <sz val="9"/>
            <rFont val="Tahoma"/>
            <family val="2"/>
          </rPr>
          <t>AILG Module 2, Dungarvan, Co. Waterford. 21.03.2019</t>
        </r>
      </text>
    </comment>
    <comment ref="E1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€222.28 AILG</t>
        </r>
        <r>
          <rPr>
            <sz val="9"/>
            <rFont val="Tahoma"/>
            <family val="2"/>
          </rPr>
          <t xml:space="preserve"> Module 2, Dungarvan, Co. Waterford. 21.03.19.</t>
        </r>
      </text>
    </comment>
    <comment ref="E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€261.09 AILG </t>
        </r>
        <r>
          <rPr>
            <sz val="9"/>
            <rFont val="Tahoma"/>
            <family val="2"/>
          </rPr>
          <t xml:space="preserve">Module 2, Dungarvan, Co. Waterford. 21.03.19
</t>
        </r>
        <r>
          <rPr>
            <b/>
            <sz val="9"/>
            <rFont val="Tahoma"/>
            <family val="2"/>
          </rPr>
          <t>€478.39 LAMA</t>
        </r>
        <r>
          <rPr>
            <sz val="9"/>
            <rFont val="Tahoma"/>
            <family val="2"/>
          </rPr>
          <t xml:space="preserve"> Spring Seminar, Co. Leitrim. 07.03.19 to 08.03.19.</t>
        </r>
      </text>
    </comment>
    <comment ref="E4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€250.91</t>
        </r>
        <r>
          <rPr>
            <sz val="9"/>
            <rFont val="Tahoma"/>
            <family val="2"/>
          </rPr>
          <t xml:space="preserve"> AILG Module 2, Dungarvan, Co. Waterford.  21.03.19
</t>
        </r>
        <r>
          <rPr>
            <b/>
            <sz val="9"/>
            <rFont val="Tahoma"/>
            <family val="2"/>
          </rPr>
          <t>€304.77</t>
        </r>
        <r>
          <rPr>
            <sz val="9"/>
            <rFont val="Tahoma"/>
            <family val="2"/>
          </rPr>
          <t xml:space="preserve"> LAMA Spring Seminar, Co. Leitrim, 07.03.19.
</t>
        </r>
      </text>
    </comment>
    <comment ref="D4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€536.24 </t>
        </r>
        <r>
          <rPr>
            <sz val="9"/>
            <rFont val="Tahoma"/>
            <family val="2"/>
          </rPr>
          <t>Approaches in Contemporary River Management, Clonakilty Co. Cork. 7th to 9th Dec, 18.</t>
        </r>
      </text>
    </comment>
    <comment ref="D3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€276.51 </t>
        </r>
        <r>
          <rPr>
            <sz val="9"/>
            <rFont val="Tahoma"/>
            <family val="2"/>
          </rPr>
          <t>NFLA, Kilkenny 22nd March, 2019.</t>
        </r>
      </text>
    </comment>
    <comment ref="E1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€345.29 </t>
        </r>
        <r>
          <rPr>
            <sz val="9"/>
            <rFont val="Tahoma"/>
            <family val="2"/>
          </rPr>
          <t xml:space="preserve">AILG Module 2, 23rd March, 2019. Arklow, Co. Wicklow.  </t>
        </r>
      </text>
    </comment>
    <comment ref="E2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€85.10 </t>
        </r>
        <r>
          <rPr>
            <sz val="9"/>
            <rFont val="Tahoma"/>
            <family val="2"/>
          </rPr>
          <t xml:space="preserve">AILG 2, Dungarvan, Co. Waterford. 21st Mar, 2019.
</t>
        </r>
        <r>
          <rPr>
            <b/>
            <sz val="9"/>
            <rFont val="Tahoma"/>
            <family val="2"/>
          </rPr>
          <t xml:space="preserve">€299.72 </t>
        </r>
        <r>
          <rPr>
            <sz val="9"/>
            <rFont val="Tahoma"/>
            <family val="2"/>
          </rPr>
          <t>LAMA Spring 2019.  Carrick on Shannon, Co. Leitrim.</t>
        </r>
      </text>
    </comment>
  </commentList>
</comments>
</file>

<file path=xl/comments5.xml><?xml version="1.0" encoding="utf-8"?>
<comments xmlns="http://schemas.openxmlformats.org/spreadsheetml/2006/main">
  <authors>
    <author>Laura Seawright</author>
    <author>Hourigan, Grace</author>
  </authors>
  <commentList>
    <comment ref="C2" authorId="0">
      <text>
        <r>
          <rPr>
            <b/>
            <sz val="8"/>
            <rFont val="Tahoma"/>
            <family val="2"/>
          </rPr>
          <t>Laura Seawright:</t>
        </r>
        <r>
          <rPr>
            <sz val="8"/>
            <rFont val="Tahoma"/>
            <family val="2"/>
          </rPr>
          <t xml:space="preserve">
3 paydates in May
</t>
        </r>
      </text>
    </comment>
    <comment ref="E15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€63.94</t>
        </r>
        <r>
          <rPr>
            <sz val="9"/>
            <rFont val="Tahoma"/>
            <family val="2"/>
          </rPr>
          <t xml:space="preserve"> AILG Module 1, Tipperary, 24th Jan, 2019.</t>
        </r>
      </text>
    </comment>
    <comment ref="E10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€98.43 </t>
        </r>
        <r>
          <rPr>
            <sz val="9"/>
            <rFont val="Tahoma"/>
            <family val="2"/>
          </rPr>
          <t>AILG 1, Tipperary, 24th Jan, 2019.</t>
        </r>
      </text>
    </comment>
    <comment ref="L22" authorId="1">
      <text>
        <r>
          <rPr>
            <b/>
            <sz val="9"/>
            <rFont val="Tahoma"/>
            <family val="2"/>
          </rPr>
          <t xml:space="preserve">Hourigan, Grace:
€217.55 </t>
        </r>
        <r>
          <rPr>
            <sz val="9"/>
            <rFont val="Tahoma"/>
            <family val="2"/>
          </rPr>
          <t>Mobile Phone Bills Jan to May 18.  Aug 18  to Mar 19.</t>
        </r>
      </text>
    </comment>
    <comment ref="L15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€68.27 Mobile Phone Bills Dec 18 to Mar 19</t>
        </r>
      </text>
    </comment>
    <comment ref="K22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€100.00 wifi bills Dec 18 to Mar, 19.</t>
        </r>
      </text>
    </comment>
    <comment ref="D14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€312.93 </t>
        </r>
        <r>
          <rPr>
            <sz val="9"/>
            <rFont val="Tahoma"/>
            <family val="2"/>
          </rPr>
          <t>Cross Border Tourism Conference 2019.  Carliingford, Co. Louth.  10th April, 2019.</t>
        </r>
      </text>
    </comment>
    <comment ref="D23" authorId="1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€312.46 </t>
        </r>
        <r>
          <rPr>
            <sz val="9"/>
            <rFont val="Tahoma"/>
            <family val="2"/>
          </rPr>
          <t xml:space="preserve">Cross Border Tourism Conference 2019.  Carlingford, Co. Louth.  </t>
        </r>
      </text>
    </comment>
  </commentList>
</comments>
</file>

<file path=xl/comments6.xml><?xml version="1.0" encoding="utf-8"?>
<comments xmlns="http://schemas.openxmlformats.org/spreadsheetml/2006/main">
  <authors>
    <author>Hourigan, Grace</author>
  </authors>
  <commentList>
    <comment ref="E3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€214.88</t>
        </r>
        <r>
          <rPr>
            <sz val="9"/>
            <rFont val="Tahoma"/>
            <family val="2"/>
          </rPr>
          <t xml:space="preserve"> IPB Insurances AGM 3rd May, 2019.  </t>
        </r>
      </text>
    </comment>
    <comment ref="L1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150.24 for purchase of mobile phone.  
97.91 Mobile Bills June to December 2018.
51.85 Mobile Bills Jan to May, 2019.</t>
        </r>
      </text>
    </comment>
    <comment ref="K1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125.00</t>
        </r>
        <r>
          <rPr>
            <sz val="9"/>
            <rFont val="Tahoma"/>
            <family val="2"/>
          </rPr>
          <t xml:space="preserve"> Wifi Jan to May, 2019.
</t>
        </r>
        <r>
          <rPr>
            <b/>
            <sz val="9"/>
            <rFont val="Tahoma"/>
            <family val="2"/>
          </rPr>
          <t>175.00</t>
        </r>
        <r>
          <rPr>
            <sz val="9"/>
            <rFont val="Tahoma"/>
            <family val="2"/>
          </rPr>
          <t xml:space="preserve"> Wifi June to Dec 2018.</t>
        </r>
      </text>
    </comment>
    <comment ref="L4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82.00</t>
        </r>
        <r>
          <rPr>
            <sz val="9"/>
            <rFont val="Tahoma"/>
            <family val="2"/>
          </rPr>
          <t xml:space="preserve"> Mobile Bills Jan to May 2019.</t>
        </r>
      </text>
    </comment>
    <comment ref="L3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73.65 Mobile Phone Bills July 18 to May 19.</t>
        </r>
      </text>
    </comment>
    <comment ref="K3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250.00 Wifi Bills Aug 2018 to May, 2019.</t>
        </r>
      </text>
    </comment>
  </commentList>
</comments>
</file>

<file path=xl/comments7.xml><?xml version="1.0" encoding="utf-8"?>
<comments xmlns="http://schemas.openxmlformats.org/spreadsheetml/2006/main">
  <authors>
    <author>Hourigan, Grace</author>
  </authors>
  <commentList>
    <comment ref="L4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€185.44 </t>
        </r>
        <r>
          <rPr>
            <sz val="9"/>
            <rFont val="Tahoma"/>
            <family val="2"/>
          </rPr>
          <t>Mobile Phone Bills July 2018 to June, 2019.</t>
        </r>
      </text>
    </comment>
    <comment ref="L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€87.04</t>
        </r>
        <r>
          <rPr>
            <sz val="9"/>
            <rFont val="Tahoma"/>
            <family val="2"/>
          </rPr>
          <t xml:space="preserve"> Mobile Phone Bills August and December 2018.  January to June, 2019.</t>
        </r>
      </text>
    </comment>
    <comment ref="K2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€139.93</t>
        </r>
        <r>
          <rPr>
            <sz val="9"/>
            <rFont val="Tahoma"/>
            <family val="2"/>
          </rPr>
          <t xml:space="preserve"> Wifi Bills Nov 2018 to May, 2019.</t>
        </r>
      </text>
    </comment>
    <comment ref="L4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€150.00 Purchase of Printer Allowance for lifetime of Council.</t>
        </r>
      </text>
    </comment>
    <comment ref="E4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€393.29 </t>
        </r>
        <r>
          <rPr>
            <sz val="9"/>
            <rFont val="Tahoma"/>
            <family val="2"/>
          </rPr>
          <t xml:space="preserve">AILG Conference 2019. Longford.  21st and 22nd Feb, 2019.
</t>
        </r>
        <r>
          <rPr>
            <b/>
            <sz val="9"/>
            <rFont val="Tahoma"/>
            <family val="2"/>
          </rPr>
          <t>€81.41</t>
        </r>
        <r>
          <rPr>
            <sz val="9"/>
            <rFont val="Tahoma"/>
            <family val="2"/>
          </rPr>
          <t xml:space="preserve"> AILG Module 1, Tipperary.  24th January, 2019.
</t>
        </r>
        <r>
          <rPr>
            <b/>
            <sz val="9"/>
            <rFont val="Tahoma"/>
            <family val="2"/>
          </rPr>
          <t>€440.77</t>
        </r>
        <r>
          <rPr>
            <sz val="9"/>
            <rFont val="Tahoma"/>
            <family val="2"/>
          </rPr>
          <t xml:space="preserve"> LAMA Spring Training Co. Leitrim. 7th and 8th March, 2019.</t>
        </r>
      </text>
    </comment>
    <comment ref="E10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€210.98</t>
        </r>
        <r>
          <rPr>
            <sz val="9"/>
            <rFont val="Tahoma"/>
            <family val="2"/>
          </rPr>
          <t xml:space="preserve"> HIV Fast Tract Cities, Dublin 2.  13th June, 2019.</t>
        </r>
      </text>
    </comment>
    <comment ref="F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€2293.19 </t>
        </r>
        <r>
          <rPr>
            <sz val="9"/>
            <rFont val="Tahoma"/>
            <family val="2"/>
          </rPr>
          <t>Trip to NYC, St Patricks Day Parade, 14th to 18th Mar, 2019.</t>
        </r>
      </text>
    </comment>
    <comment ref="F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€1997.37 </t>
        </r>
        <r>
          <rPr>
            <sz val="9"/>
            <rFont val="Tahoma"/>
            <family val="2"/>
          </rPr>
          <t>Trip to NYC, 28th Feb to 5th Mar, 2019.  St Patrick's Day Celebrations.</t>
        </r>
      </text>
    </comment>
    <comment ref="F39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€1834.18</t>
        </r>
        <r>
          <rPr>
            <sz val="9"/>
            <rFont val="Tahoma"/>
            <family val="2"/>
          </rPr>
          <t xml:space="preserve"> attendance at Green Leaf Award, Oslo, Norway. 18th to 21st June, 2019.</t>
        </r>
      </text>
    </comment>
  </commentList>
</comments>
</file>

<file path=xl/comments8.xml><?xml version="1.0" encoding="utf-8"?>
<comments xmlns="http://schemas.openxmlformats.org/spreadsheetml/2006/main">
  <authors>
    <author>Hourigan, Grace</author>
  </authors>
  <commentList>
    <comment ref="K3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Richard O'Donoghue. wifi bills Jan to Jun 2019.</t>
        </r>
      </text>
    </comment>
    <comment ref="L31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€298.09 Mobile Bills from Jan to Jun 2019.</t>
        </r>
      </text>
    </comment>
    <comment ref="E5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77.55 </t>
        </r>
        <r>
          <rPr>
            <sz val="9"/>
            <rFont val="Tahoma"/>
            <family val="2"/>
          </rPr>
          <t>AILG Module 3, The Horse and Jockey, Co. Tipperary.  13th July, 2019.</t>
        </r>
      </text>
    </comment>
    <comment ref="E42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375.49 </t>
        </r>
        <r>
          <rPr>
            <sz val="9"/>
            <rFont val="Tahoma"/>
            <family val="2"/>
          </rPr>
          <t xml:space="preserve">Deputised as Mayor at Wreath Laying Ceremony, Dublin 7. 13th July, 2019.
</t>
        </r>
        <r>
          <rPr>
            <b/>
            <sz val="9"/>
            <rFont val="Tahoma"/>
            <family val="2"/>
          </rPr>
          <t xml:space="preserve">342.10 </t>
        </r>
        <r>
          <rPr>
            <sz val="9"/>
            <rFont val="Tahoma"/>
            <family val="2"/>
          </rPr>
          <t xml:space="preserve">Deputised as Mayor at the Belgian National Day, Ailesbury Road, Ballsbridge, Dublin 4.
</t>
        </r>
        <r>
          <rPr>
            <b/>
            <sz val="9"/>
            <rFont val="Tahoma"/>
            <family val="2"/>
          </rPr>
          <t>215.02</t>
        </r>
        <r>
          <rPr>
            <sz val="9"/>
            <rFont val="Tahoma"/>
            <family val="2"/>
          </rPr>
          <t xml:space="preserve"> Deputised at Dubai Duty Free Irish Open Golf Tournament at Lahince Golf Club, Co. Clare. 7th July, 2019.
</t>
        </r>
      </text>
    </comment>
    <comment ref="E7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73.07 AILG Module 4, The Silver Springs Co. Cork.  15th September, 2018.</t>
        </r>
      </text>
    </comment>
    <comment ref="L25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€2344.03 Mobile Phone Bills from Aug 2014 to December 2019.</t>
        </r>
      </text>
    </comment>
    <comment ref="L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€150.50 mobile phone bills from Jan, 2019 to May, 2019. </t>
        </r>
      </text>
    </comment>
    <comment ref="K3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€75 Wifi</t>
        </r>
        <r>
          <rPr>
            <sz val="9"/>
            <rFont val="Tahoma"/>
            <family val="2"/>
          </rPr>
          <t xml:space="preserve"> Bills from March to May, 2019.</t>
        </r>
      </text>
    </comment>
    <comment ref="L6" authorId="0">
      <text>
        <r>
          <rPr>
            <b/>
            <sz val="9"/>
            <rFont val="Tahoma"/>
            <family val="2"/>
          </rPr>
          <t>Hourigan, Grace: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€545.05 </t>
        </r>
        <r>
          <rPr>
            <sz val="9"/>
            <rFont val="Tahoma"/>
            <family val="2"/>
          </rPr>
          <t>50% of mobile phone bills from July 17 to August, 219.</t>
        </r>
      </text>
    </comment>
  </commentList>
</comments>
</file>

<file path=xl/sharedStrings.xml><?xml version="1.0" encoding="utf-8"?>
<sst xmlns="http://schemas.openxmlformats.org/spreadsheetml/2006/main" count="937" uniqueCount="132">
  <si>
    <t>Councillor</t>
  </si>
  <si>
    <t>Monthly Expenses</t>
  </si>
  <si>
    <t>Gross Representational Payment</t>
  </si>
  <si>
    <t>Mobile Phone Allowance</t>
  </si>
  <si>
    <t>Total for Month</t>
  </si>
  <si>
    <t>Training Expenses</t>
  </si>
  <si>
    <t>Conference Expenses</t>
  </si>
  <si>
    <t>Browne, Séamus</t>
  </si>
  <si>
    <t>Butler, Daniel</t>
  </si>
  <si>
    <t>Byrne, Maria</t>
  </si>
  <si>
    <t>Clifford, Shane</t>
  </si>
  <si>
    <t>Collins, James</t>
  </si>
  <si>
    <t>Collins, Michael</t>
  </si>
  <si>
    <t>Crowley, Joe</t>
  </si>
  <si>
    <t>Daly, Frankie</t>
  </si>
  <si>
    <t>Donegan, Michael</t>
  </si>
  <si>
    <t>Foley, Francis</t>
  </si>
  <si>
    <t>Galvin, Liam</t>
  </si>
  <si>
    <t>Gilligan, John</t>
  </si>
  <si>
    <t>Gleeson, Noel</t>
  </si>
  <si>
    <t>Hourigan, Michael</t>
  </si>
  <si>
    <t>Hurley, Marian</t>
  </si>
  <si>
    <t>Keary, Stephen</t>
  </si>
  <si>
    <t>Keller, Paul</t>
  </si>
  <si>
    <t>Leddin, Joe</t>
  </si>
  <si>
    <t>Loftus, John</t>
  </si>
  <si>
    <t>Lynch, Seán</t>
  </si>
  <si>
    <t>McCreesh, Malachy</t>
  </si>
  <si>
    <t>McMahon, Ciara</t>
  </si>
  <si>
    <t>Mitchell, Gerald</t>
  </si>
  <si>
    <t>Neville, Tom</t>
  </si>
  <si>
    <t>Ó Ceallaigh, Séighin</t>
  </si>
  <si>
    <t>O’Brien, Emmett</t>
  </si>
  <si>
    <t>O’Dea, Jerry</t>
  </si>
  <si>
    <t>O’Donnell, William</t>
  </si>
  <si>
    <t>O’Donoghue, Richard</t>
  </si>
  <si>
    <t>O’Hanlon, Kieran</t>
  </si>
  <si>
    <t>Prendiville, Cian</t>
  </si>
  <si>
    <t>Quinlivan, Maurice</t>
  </si>
  <si>
    <t>Ryan, Eddie</t>
  </si>
  <si>
    <t>Scanlan, Jerome</t>
  </si>
  <si>
    <t>Secas, Elena</t>
  </si>
  <si>
    <t>Sheahan, John</t>
  </si>
  <si>
    <t>Sheahan, Kevin</t>
  </si>
  <si>
    <t>Sheahan, Michael</t>
  </si>
  <si>
    <t>Sheehy, Lisa Marie</t>
  </si>
  <si>
    <t>Teefy, Brigid</t>
  </si>
  <si>
    <t>June</t>
  </si>
  <si>
    <t>July</t>
  </si>
  <si>
    <t>August</t>
  </si>
  <si>
    <t>September</t>
  </si>
  <si>
    <t>November</t>
  </si>
  <si>
    <t>December</t>
  </si>
  <si>
    <t>End year</t>
  </si>
  <si>
    <t>Mayor's Allowance</t>
  </si>
  <si>
    <t>SPC Chair Allowance</t>
  </si>
  <si>
    <t>Total for Period</t>
  </si>
  <si>
    <t>District Chair's Allowance</t>
  </si>
  <si>
    <t>Totals</t>
  </si>
  <si>
    <t>Foreign Travel</t>
  </si>
  <si>
    <t>Outside Body Name</t>
  </si>
  <si>
    <t>Register of Councillors Expenses Totals</t>
  </si>
  <si>
    <t xml:space="preserve">Register of Councillors Expenses - Outside Bodies </t>
  </si>
  <si>
    <t>Date of Meeting</t>
  </si>
  <si>
    <t>Milage Expenses Claimed</t>
  </si>
  <si>
    <t>Subsistence Claimed</t>
  </si>
  <si>
    <t>Total</t>
  </si>
  <si>
    <t>October</t>
  </si>
  <si>
    <t>May</t>
  </si>
  <si>
    <t>April</t>
  </si>
  <si>
    <t>March</t>
  </si>
  <si>
    <t>February</t>
  </si>
  <si>
    <t>January</t>
  </si>
  <si>
    <t>Rolling Total January - February</t>
  </si>
  <si>
    <t>Rolling Total January - March</t>
  </si>
  <si>
    <t>Rolling Total January - April</t>
  </si>
  <si>
    <t>Rolling Total January - May</t>
  </si>
  <si>
    <t>Rolling Total January - June</t>
  </si>
  <si>
    <t>Rolling Total January - July</t>
  </si>
  <si>
    <t>Mayor of Metropolitan District Allowance</t>
  </si>
  <si>
    <t>Mayor of City and County of Limerick Allowance</t>
  </si>
  <si>
    <t>Wi Fi Allowance</t>
  </si>
  <si>
    <t>Pond Joe</t>
  </si>
  <si>
    <t>Crowley Vivienne</t>
  </si>
  <si>
    <t>Costello John</t>
  </si>
  <si>
    <t>Costelloe, John</t>
  </si>
  <si>
    <t xml:space="preserve">Crowley, Vivienne </t>
  </si>
  <si>
    <t>Pond,Joe</t>
  </si>
  <si>
    <t>Crowley, Vivienne</t>
  </si>
  <si>
    <t>Pond, Joe</t>
  </si>
  <si>
    <t>Deputy Mayor Allowance</t>
  </si>
  <si>
    <t>Teskey Adam</t>
  </si>
  <si>
    <t>Teskey, Adam</t>
  </si>
  <si>
    <t>Hogan Elenora</t>
  </si>
  <si>
    <t>Hogan Eleanora</t>
  </si>
  <si>
    <t>Rolling Total January - August</t>
  </si>
  <si>
    <t>Rolling Total January - September</t>
  </si>
  <si>
    <t>Rolling Total January - October</t>
  </si>
  <si>
    <t>Rolling Total January - November</t>
  </si>
  <si>
    <t>Rolling Total January - December</t>
  </si>
  <si>
    <t>Cahillane, Mary</t>
  </si>
  <si>
    <t>Register of Councillors Expenses December 2019</t>
  </si>
  <si>
    <t>Register of Councillors Expenses January 2019</t>
  </si>
  <si>
    <t>Register of Councillors Expenses February 2019</t>
  </si>
  <si>
    <t>Register of Councillors Expenses March 2019</t>
  </si>
  <si>
    <t>Register of Councillors Expenses April 2019</t>
  </si>
  <si>
    <t>Register of Councillors Expenses May 2019</t>
  </si>
  <si>
    <t>Register of Councillors Expenses June 2019</t>
  </si>
  <si>
    <t>Register of Councillors Expenses July 2019</t>
  </si>
  <si>
    <t>Register of Councillors Expenses August 2019</t>
  </si>
  <si>
    <t>Register of Councillors Expenses September 2019</t>
  </si>
  <si>
    <t>Register of Councillors Expenses October 2019</t>
  </si>
  <si>
    <t>Register of Councillors Expenses November 2019</t>
  </si>
  <si>
    <t>Benson Sharon</t>
  </si>
  <si>
    <t>Collins, Bridie</t>
  </si>
  <si>
    <t>Carey, PJ</t>
  </si>
  <si>
    <t>Egan, John</t>
  </si>
  <si>
    <t>Hartigan, Sean</t>
  </si>
  <si>
    <t>Kiely, Sarah</t>
  </si>
  <si>
    <t>Kilcoyne, Fergus</t>
  </si>
  <si>
    <t>Leddin, Brian</t>
  </si>
  <si>
    <t xml:space="preserve">Murphy, Michael </t>
  </si>
  <si>
    <t>McSweeney, Dan</t>
  </si>
  <si>
    <t>O'Donovan, Elisa</t>
  </si>
  <si>
    <t>O'Sullilvan, Olivia</t>
  </si>
  <si>
    <t>Ruddle, Tom</t>
  </si>
  <si>
    <t>Ryan, Martin</t>
  </si>
  <si>
    <t>Sheehan, Conor</t>
  </si>
  <si>
    <t>Slattery, Catherine</t>
  </si>
  <si>
    <t xml:space="preserve">Talukder, Abul </t>
  </si>
  <si>
    <t>New Council 2019</t>
  </si>
  <si>
    <t>Register of Councillors Expenses. Totals for 2019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</si>
</sst>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  <numFmt numFmtId="165" formatCode="[$-1809]dd\ mmmm\ yyyy"/>
    <numFmt numFmtId="166" formatCode="[$-1809]dddd\ d\ mmmm\ yyyy"/>
    <numFmt numFmtId="167" formatCode="0.0"/>
    <numFmt numFmtId="168" formatCode="0.000"/>
    <numFmt numFmtId="169" formatCode="0.000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/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 style="thin">
        <color theme="4"/>
      </right>
      <top/>
      <bottom/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/>
      <bottom style="thin">
        <color theme="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</border>
    <border>
      <left/>
      <right style="thin">
        <color theme="6"/>
      </right>
      <top style="thin">
        <color theme="6"/>
      </top>
      <bottom style="medium">
        <color theme="6"/>
      </bottom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 style="thin">
        <color theme="6"/>
      </bottom>
    </border>
    <border>
      <left/>
      <right/>
      <top/>
      <bottom style="thin">
        <color theme="6"/>
      </bottom>
    </border>
    <border>
      <left style="thin"/>
      <right style="thin"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  <border>
      <left/>
      <right style="thin">
        <color theme="8"/>
      </right>
      <top style="thin">
        <color theme="8"/>
      </top>
      <bottom style="medium">
        <color theme="8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>
        <color theme="4"/>
      </left>
      <right style="thin">
        <color theme="4"/>
      </right>
      <top style="double">
        <color theme="4"/>
      </top>
      <bottom style="double"/>
    </border>
    <border>
      <left/>
      <right style="thin">
        <color theme="4"/>
      </right>
      <top style="double">
        <color theme="4"/>
      </top>
      <bottom style="double"/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/>
      <right style="thin">
        <color theme="4"/>
      </right>
      <top/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 style="thin"/>
      <top style="thin"/>
      <bottom style="thin"/>
    </border>
    <border>
      <left/>
      <right/>
      <top style="thin">
        <color theme="4"/>
      </top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4"/>
      </left>
      <right style="thin">
        <color theme="4"/>
      </right>
      <top style="thin"/>
      <bottom/>
    </border>
    <border>
      <left style="thin">
        <color theme="4"/>
      </left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>
        <color theme="8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164" fontId="53" fillId="34" borderId="13" xfId="44" applyNumberFormat="1" applyFont="1" applyFill="1" applyBorder="1" applyAlignment="1">
      <alignment horizontal="left"/>
    </xf>
    <xf numFmtId="0" fontId="53" fillId="34" borderId="13" xfId="0" applyFont="1" applyFill="1" applyBorder="1" applyAlignment="1">
      <alignment/>
    </xf>
    <xf numFmtId="164" fontId="52" fillId="34" borderId="13" xfId="44" applyNumberFormat="1" applyFont="1" applyFill="1" applyBorder="1" applyAlignment="1">
      <alignment horizontal="left"/>
    </xf>
    <xf numFmtId="164" fontId="53" fillId="0" borderId="13" xfId="44" applyNumberFormat="1" applyFont="1" applyBorder="1" applyAlignment="1">
      <alignment horizontal="left"/>
    </xf>
    <xf numFmtId="0" fontId="53" fillId="0" borderId="13" xfId="0" applyFont="1" applyBorder="1" applyAlignment="1">
      <alignment/>
    </xf>
    <xf numFmtId="164" fontId="52" fillId="0" borderId="13" xfId="44" applyNumberFormat="1" applyFont="1" applyBorder="1" applyAlignment="1">
      <alignment horizontal="left"/>
    </xf>
    <xf numFmtId="164" fontId="53" fillId="0" borderId="13" xfId="44" applyNumberFormat="1" applyFont="1" applyBorder="1" applyAlignment="1">
      <alignment horizontal="left"/>
    </xf>
    <xf numFmtId="164" fontId="52" fillId="0" borderId="13" xfId="44" applyNumberFormat="1" applyFont="1" applyBorder="1" applyAlignment="1">
      <alignment horizontal="left"/>
    </xf>
    <xf numFmtId="0" fontId="52" fillId="33" borderId="12" xfId="0" applyFont="1" applyFill="1" applyBorder="1" applyAlignment="1">
      <alignment wrapText="1"/>
    </xf>
    <xf numFmtId="0" fontId="53" fillId="34" borderId="14" xfId="0" applyFont="1" applyFill="1" applyBorder="1" applyAlignment="1">
      <alignment/>
    </xf>
    <xf numFmtId="164" fontId="53" fillId="34" borderId="13" xfId="44" applyNumberFormat="1" applyFont="1" applyFill="1" applyBorder="1" applyAlignment="1">
      <alignment horizontal="left" wrapText="1"/>
    </xf>
    <xf numFmtId="164" fontId="53" fillId="33" borderId="13" xfId="44" applyNumberFormat="1" applyFont="1" applyFill="1" applyBorder="1" applyAlignment="1">
      <alignment horizontal="left"/>
    </xf>
    <xf numFmtId="0" fontId="53" fillId="0" borderId="14" xfId="0" applyFont="1" applyBorder="1" applyAlignment="1">
      <alignment/>
    </xf>
    <xf numFmtId="164" fontId="53" fillId="0" borderId="13" xfId="44" applyNumberFormat="1" applyFont="1" applyBorder="1" applyAlignment="1">
      <alignment horizontal="left" wrapText="1"/>
    </xf>
    <xf numFmtId="164" fontId="53" fillId="0" borderId="15" xfId="44" applyNumberFormat="1" applyFont="1" applyBorder="1" applyAlignment="1">
      <alignment horizontal="left"/>
    </xf>
    <xf numFmtId="164" fontId="52" fillId="0" borderId="15" xfId="44" applyNumberFormat="1" applyFont="1" applyBorder="1" applyAlignment="1">
      <alignment horizontal="left"/>
    </xf>
    <xf numFmtId="0" fontId="53" fillId="35" borderId="16" xfId="0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35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3" fillId="36" borderId="20" xfId="0" applyFont="1" applyFill="1" applyBorder="1" applyAlignment="1">
      <alignment/>
    </xf>
    <xf numFmtId="4" fontId="53" fillId="36" borderId="21" xfId="0" applyNumberFormat="1" applyFont="1" applyFill="1" applyBorder="1" applyAlignment="1">
      <alignment/>
    </xf>
    <xf numFmtId="4" fontId="52" fillId="36" borderId="21" xfId="0" applyNumberFormat="1" applyFont="1" applyFill="1" applyBorder="1" applyAlignment="1">
      <alignment/>
    </xf>
    <xf numFmtId="0" fontId="53" fillId="0" borderId="20" xfId="0" applyFont="1" applyBorder="1" applyAlignment="1">
      <alignment/>
    </xf>
    <xf numFmtId="4" fontId="53" fillId="0" borderId="21" xfId="0" applyNumberFormat="1" applyFont="1" applyBorder="1" applyAlignment="1">
      <alignment/>
    </xf>
    <xf numFmtId="4" fontId="52" fillId="0" borderId="21" xfId="0" applyNumberFormat="1" applyFont="1" applyBorder="1" applyAlignment="1">
      <alignment/>
    </xf>
    <xf numFmtId="0" fontId="52" fillId="0" borderId="20" xfId="0" applyFont="1" applyBorder="1" applyAlignment="1">
      <alignment/>
    </xf>
    <xf numFmtId="4" fontId="52" fillId="0" borderId="22" xfId="0" applyNumberFormat="1" applyFont="1" applyBorder="1" applyAlignment="1">
      <alignment/>
    </xf>
    <xf numFmtId="4" fontId="52" fillId="0" borderId="23" xfId="0" applyNumberFormat="1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164" fontId="52" fillId="0" borderId="25" xfId="0" applyNumberFormat="1" applyFont="1" applyBorder="1" applyAlignment="1">
      <alignment/>
    </xf>
    <xf numFmtId="0" fontId="53" fillId="35" borderId="17" xfId="0" applyFont="1" applyFill="1" applyBorder="1" applyAlignment="1">
      <alignment horizontal="right"/>
    </xf>
    <xf numFmtId="164" fontId="53" fillId="35" borderId="17" xfId="0" applyNumberFormat="1" applyFont="1" applyFill="1" applyBorder="1" applyAlignment="1">
      <alignment/>
    </xf>
    <xf numFmtId="164" fontId="53" fillId="35" borderId="17" xfId="0" applyNumberFormat="1" applyFont="1" applyFill="1" applyBorder="1" applyAlignment="1">
      <alignment horizontal="right"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right"/>
    </xf>
    <xf numFmtId="164" fontId="53" fillId="0" borderId="17" xfId="0" applyNumberFormat="1" applyFont="1" applyBorder="1" applyAlignment="1">
      <alignment/>
    </xf>
    <xf numFmtId="164" fontId="53" fillId="0" borderId="17" xfId="0" applyNumberFormat="1" applyFont="1" applyBorder="1" applyAlignment="1">
      <alignment horizontal="right"/>
    </xf>
    <xf numFmtId="14" fontId="53" fillId="0" borderId="17" xfId="0" applyNumberFormat="1" applyFont="1" applyBorder="1" applyAlignment="1">
      <alignment horizontal="right"/>
    </xf>
    <xf numFmtId="14" fontId="53" fillId="35" borderId="17" xfId="0" applyNumberFormat="1" applyFont="1" applyFill="1" applyBorder="1" applyAlignment="1">
      <alignment horizontal="right"/>
    </xf>
    <xf numFmtId="14" fontId="53" fillId="35" borderId="17" xfId="0" applyNumberFormat="1" applyFont="1" applyFill="1" applyBorder="1" applyAlignment="1">
      <alignment/>
    </xf>
    <xf numFmtId="14" fontId="53" fillId="0" borderId="17" xfId="0" applyNumberFormat="1" applyFont="1" applyBorder="1" applyAlignment="1">
      <alignment/>
    </xf>
    <xf numFmtId="8" fontId="0" fillId="35" borderId="17" xfId="0" applyNumberFormat="1" applyFill="1" applyBorder="1" applyAlignment="1">
      <alignment/>
    </xf>
    <xf numFmtId="0" fontId="53" fillId="35" borderId="17" xfId="0" applyFont="1" applyFill="1" applyBorder="1" applyAlignment="1">
      <alignment/>
    </xf>
    <xf numFmtId="14" fontId="53" fillId="35" borderId="17" xfId="0" applyNumberFormat="1" applyFont="1" applyFill="1" applyBorder="1" applyAlignment="1">
      <alignment/>
    </xf>
    <xf numFmtId="164" fontId="53" fillId="35" borderId="17" xfId="0" applyNumberFormat="1" applyFont="1" applyFill="1" applyBorder="1" applyAlignment="1">
      <alignment/>
    </xf>
    <xf numFmtId="2" fontId="53" fillId="35" borderId="17" xfId="0" applyNumberFormat="1" applyFont="1" applyFill="1" applyBorder="1" applyAlignment="1">
      <alignment/>
    </xf>
    <xf numFmtId="2" fontId="53" fillId="0" borderId="17" xfId="0" applyNumberFormat="1" applyFont="1" applyBorder="1" applyAlignment="1">
      <alignment/>
    </xf>
    <xf numFmtId="2" fontId="53" fillId="35" borderId="17" xfId="0" applyNumberFormat="1" applyFont="1" applyFill="1" applyBorder="1" applyAlignment="1">
      <alignment/>
    </xf>
    <xf numFmtId="164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164" fontId="53" fillId="34" borderId="0" xfId="44" applyNumberFormat="1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0" borderId="26" xfId="0" applyBorder="1" applyAlignment="1">
      <alignment/>
    </xf>
    <xf numFmtId="0" fontId="0" fillId="38" borderId="0" xfId="0" applyFill="1" applyAlignment="1">
      <alignment/>
    </xf>
    <xf numFmtId="0" fontId="0" fillId="2" borderId="0" xfId="0" applyFill="1" applyAlignment="1">
      <alignment/>
    </xf>
    <xf numFmtId="0" fontId="5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38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Border="1" applyAlignment="1">
      <alignment/>
    </xf>
    <xf numFmtId="164" fontId="2" fillId="0" borderId="27" xfId="0" applyNumberFormat="1" applyFont="1" applyBorder="1" applyAlignment="1">
      <alignment horizontal="left"/>
    </xf>
    <xf numFmtId="164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64" fontId="52" fillId="0" borderId="29" xfId="44" applyNumberFormat="1" applyFont="1" applyBorder="1" applyAlignment="1">
      <alignment horizontal="left"/>
    </xf>
    <xf numFmtId="0" fontId="52" fillId="0" borderId="30" xfId="0" applyFont="1" applyBorder="1" applyAlignment="1">
      <alignment/>
    </xf>
    <xf numFmtId="164" fontId="52" fillId="0" borderId="31" xfId="44" applyNumberFormat="1" applyFont="1" applyBorder="1" applyAlignment="1">
      <alignment horizontal="left" wrapText="1"/>
    </xf>
    <xf numFmtId="164" fontId="52" fillId="0" borderId="31" xfId="44" applyNumberFormat="1" applyFont="1" applyBorder="1" applyAlignment="1">
      <alignment horizontal="left"/>
    </xf>
    <xf numFmtId="0" fontId="52" fillId="0" borderId="31" xfId="44" applyNumberFormat="1" applyFont="1" applyBorder="1" applyAlignment="1">
      <alignment horizontal="left"/>
    </xf>
    <xf numFmtId="0" fontId="53" fillId="0" borderId="32" xfId="0" applyFont="1" applyBorder="1" applyAlignment="1">
      <alignment/>
    </xf>
    <xf numFmtId="164" fontId="53" fillId="0" borderId="15" xfId="44" applyNumberFormat="1" applyFont="1" applyBorder="1" applyAlignment="1">
      <alignment horizontal="left" wrapText="1"/>
    </xf>
    <xf numFmtId="164" fontId="52" fillId="0" borderId="33" xfId="44" applyNumberFormat="1" applyFont="1" applyBorder="1" applyAlignment="1">
      <alignment horizontal="left"/>
    </xf>
    <xf numFmtId="164" fontId="52" fillId="0" borderId="32" xfId="44" applyNumberFormat="1" applyFont="1" applyBorder="1" applyAlignment="1">
      <alignment horizontal="left"/>
    </xf>
    <xf numFmtId="164" fontId="52" fillId="0" borderId="34" xfId="44" applyNumberFormat="1" applyFont="1" applyBorder="1" applyAlignment="1">
      <alignment horizontal="left"/>
    </xf>
    <xf numFmtId="164" fontId="0" fillId="0" borderId="35" xfId="0" applyNumberFormat="1" applyBorder="1" applyAlignment="1">
      <alignment horizontal="left"/>
    </xf>
    <xf numFmtId="164" fontId="2" fillId="0" borderId="0" xfId="0" applyNumberFormat="1" applyFont="1" applyAlignment="1">
      <alignment/>
    </xf>
    <xf numFmtId="164" fontId="2" fillId="0" borderId="36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29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lef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3" fillId="34" borderId="40" xfId="0" applyFont="1" applyFill="1" applyBorder="1" applyAlignment="1">
      <alignment/>
    </xf>
    <xf numFmtId="164" fontId="0" fillId="0" borderId="41" xfId="0" applyNumberFormat="1" applyFill="1" applyBorder="1" applyAlignment="1">
      <alignment horizontal="left"/>
    </xf>
    <xf numFmtId="164" fontId="53" fillId="0" borderId="0" xfId="44" applyNumberFormat="1" applyFont="1" applyBorder="1" applyAlignment="1">
      <alignment horizontal="left"/>
    </xf>
    <xf numFmtId="0" fontId="0" fillId="0" borderId="42" xfId="0" applyBorder="1" applyAlignment="1">
      <alignment/>
    </xf>
    <xf numFmtId="0" fontId="53" fillId="34" borderId="15" xfId="0" applyFont="1" applyFill="1" applyBorder="1" applyAlignment="1">
      <alignment/>
    </xf>
    <xf numFmtId="164" fontId="2" fillId="0" borderId="43" xfId="0" applyNumberFormat="1" applyFont="1" applyBorder="1" applyAlignment="1">
      <alignment/>
    </xf>
    <xf numFmtId="0" fontId="52" fillId="0" borderId="23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164" fontId="0" fillId="0" borderId="13" xfId="44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164" fontId="0" fillId="34" borderId="13" xfId="44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64" fontId="0" fillId="0" borderId="0" xfId="44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39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Fill="1" applyBorder="1" applyAlignment="1">
      <alignment horizontal="left"/>
    </xf>
    <xf numFmtId="3" fontId="0" fillId="0" borderId="23" xfId="0" applyNumberFormat="1" applyBorder="1" applyAlignment="1">
      <alignment/>
    </xf>
    <xf numFmtId="0" fontId="7" fillId="0" borderId="0" xfId="0" applyFont="1" applyAlignment="1">
      <alignment/>
    </xf>
    <xf numFmtId="0" fontId="55" fillId="0" borderId="23" xfId="0" applyFont="1" applyBorder="1" applyAlignment="1">
      <alignment/>
    </xf>
    <xf numFmtId="0" fontId="56" fillId="34" borderId="14" xfId="0" applyFont="1" applyFill="1" applyBorder="1" applyAlignment="1">
      <alignment/>
    </xf>
    <xf numFmtId="164" fontId="56" fillId="34" borderId="13" xfId="44" applyNumberFormat="1" applyFont="1" applyFill="1" applyBorder="1" applyAlignment="1">
      <alignment horizontal="left"/>
    </xf>
    <xf numFmtId="0" fontId="56" fillId="34" borderId="13" xfId="0" applyFont="1" applyFill="1" applyBorder="1" applyAlignment="1">
      <alignment/>
    </xf>
    <xf numFmtId="164" fontId="57" fillId="34" borderId="13" xfId="44" applyNumberFormat="1" applyFont="1" applyFill="1" applyBorder="1" applyAlignment="1">
      <alignment horizontal="left"/>
    </xf>
    <xf numFmtId="164" fontId="56" fillId="33" borderId="13" xfId="44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56" fillId="0" borderId="14" xfId="0" applyFont="1" applyBorder="1" applyAlignment="1">
      <alignment/>
    </xf>
    <xf numFmtId="164" fontId="56" fillId="0" borderId="13" xfId="44" applyNumberFormat="1" applyFont="1" applyBorder="1" applyAlignment="1">
      <alignment horizontal="left"/>
    </xf>
    <xf numFmtId="0" fontId="56" fillId="0" borderId="13" xfId="0" applyFont="1" applyBorder="1" applyAlignment="1">
      <alignment/>
    </xf>
    <xf numFmtId="164" fontId="57" fillId="0" borderId="13" xfId="44" applyNumberFormat="1" applyFont="1" applyBorder="1" applyAlignment="1">
      <alignment horizontal="left"/>
    </xf>
    <xf numFmtId="0" fontId="56" fillId="34" borderId="15" xfId="0" applyFont="1" applyFill="1" applyBorder="1" applyAlignment="1">
      <alignment/>
    </xf>
    <xf numFmtId="164" fontId="56" fillId="0" borderId="0" xfId="44" applyNumberFormat="1" applyFont="1" applyBorder="1" applyAlignment="1">
      <alignment horizontal="left"/>
    </xf>
    <xf numFmtId="0" fontId="8" fillId="0" borderId="23" xfId="0" applyFont="1" applyBorder="1" applyAlignment="1">
      <alignment/>
    </xf>
    <xf numFmtId="164" fontId="56" fillId="0" borderId="15" xfId="44" applyNumberFormat="1" applyFont="1" applyBorder="1" applyAlignment="1">
      <alignment horizontal="left"/>
    </xf>
    <xf numFmtId="0" fontId="8" fillId="0" borderId="39" xfId="0" applyFont="1" applyBorder="1" applyAlignment="1">
      <alignment/>
    </xf>
    <xf numFmtId="0" fontId="56" fillId="0" borderId="23" xfId="0" applyFont="1" applyBorder="1" applyAlignment="1">
      <alignment/>
    </xf>
    <xf numFmtId="0" fontId="8" fillId="0" borderId="42" xfId="0" applyFont="1" applyBorder="1" applyAlignment="1">
      <alignment/>
    </xf>
    <xf numFmtId="0" fontId="56" fillId="0" borderId="32" xfId="0" applyFont="1" applyBorder="1" applyAlignment="1">
      <alignment/>
    </xf>
    <xf numFmtId="0" fontId="56" fillId="34" borderId="40" xfId="0" applyFont="1" applyFill="1" applyBorder="1" applyAlignment="1">
      <alignment/>
    </xf>
    <xf numFmtId="0" fontId="8" fillId="0" borderId="38" xfId="0" applyFont="1" applyBorder="1" applyAlignment="1">
      <alignment/>
    </xf>
    <xf numFmtId="0" fontId="55" fillId="35" borderId="23" xfId="0" applyFont="1" applyFill="1" applyBorder="1" applyAlignment="1">
      <alignment/>
    </xf>
    <xf numFmtId="4" fontId="55" fillId="35" borderId="23" xfId="58" applyNumberFormat="1" applyFont="1" applyFill="1" applyBorder="1" applyAlignment="1">
      <alignment horizontal="left"/>
      <protection/>
    </xf>
    <xf numFmtId="4" fontId="55" fillId="0" borderId="23" xfId="58" applyNumberFormat="1" applyFont="1" applyBorder="1" applyAlignment="1">
      <alignment horizontal="left"/>
      <protection/>
    </xf>
    <xf numFmtId="4" fontId="58" fillId="35" borderId="23" xfId="0" applyNumberFormat="1" applyFont="1" applyFill="1" applyBorder="1" applyAlignment="1">
      <alignment horizontal="left"/>
    </xf>
    <xf numFmtId="164" fontId="58" fillId="35" borderId="44" xfId="0" applyNumberFormat="1" applyFont="1" applyFill="1" applyBorder="1" applyAlignment="1">
      <alignment/>
    </xf>
    <xf numFmtId="164" fontId="58" fillId="35" borderId="44" xfId="0" applyNumberFormat="1" applyFont="1" applyFill="1" applyBorder="1" applyAlignment="1">
      <alignment horizontal="left"/>
    </xf>
    <xf numFmtId="164" fontId="56" fillId="0" borderId="13" xfId="44" applyNumberFormat="1" applyFont="1" applyBorder="1" applyAlignment="1">
      <alignment horizontal="left"/>
    </xf>
    <xf numFmtId="164" fontId="53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38" xfId="0" applyNumberFormat="1" applyBorder="1" applyAlignment="1">
      <alignment horizontal="left"/>
    </xf>
    <xf numFmtId="0" fontId="0" fillId="0" borderId="38" xfId="0" applyFont="1" applyBorder="1" applyAlignment="1">
      <alignment/>
    </xf>
    <xf numFmtId="164" fontId="0" fillId="0" borderId="38" xfId="0" applyNumberFormat="1" applyBorder="1" applyAlignment="1">
      <alignment/>
    </xf>
    <xf numFmtId="164" fontId="53" fillId="34" borderId="13" xfId="44" applyNumberFormat="1" applyFont="1" applyFill="1" applyBorder="1" applyAlignment="1">
      <alignment horizontal="center"/>
    </xf>
    <xf numFmtId="164" fontId="53" fillId="34" borderId="13" xfId="0" applyNumberFormat="1" applyFont="1" applyFill="1" applyBorder="1" applyAlignment="1">
      <alignment/>
    </xf>
    <xf numFmtId="164" fontId="59" fillId="0" borderId="23" xfId="0" applyNumberFormat="1" applyFont="1" applyBorder="1" applyAlignment="1">
      <alignment/>
    </xf>
    <xf numFmtId="164" fontId="59" fillId="0" borderId="29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53" fillId="0" borderId="13" xfId="0" applyNumberFormat="1" applyFont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59" fillId="0" borderId="45" xfId="0" applyNumberFormat="1" applyFont="1" applyFill="1" applyBorder="1" applyAlignment="1">
      <alignment/>
    </xf>
    <xf numFmtId="164" fontId="53" fillId="0" borderId="23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2" fontId="53" fillId="0" borderId="0" xfId="0" applyNumberFormat="1" applyFont="1" applyBorder="1" applyAlignment="1">
      <alignment wrapText="1"/>
    </xf>
    <xf numFmtId="2" fontId="0" fillId="0" borderId="23" xfId="0" applyNumberFormat="1" applyBorder="1" applyAlignment="1">
      <alignment/>
    </xf>
    <xf numFmtId="0" fontId="53" fillId="34" borderId="46" xfId="0" applyFont="1" applyFill="1" applyBorder="1" applyAlignment="1">
      <alignment/>
    </xf>
    <xf numFmtId="164" fontId="52" fillId="34" borderId="0" xfId="44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2" fillId="34" borderId="46" xfId="0" applyFont="1" applyFill="1" applyBorder="1" applyAlignment="1">
      <alignment/>
    </xf>
    <xf numFmtId="164" fontId="0" fillId="0" borderId="43" xfId="0" applyNumberFormat="1" applyBorder="1" applyAlignment="1">
      <alignment/>
    </xf>
    <xf numFmtId="0" fontId="52" fillId="34" borderId="0" xfId="0" applyFont="1" applyFill="1" applyBorder="1" applyAlignment="1">
      <alignment/>
    </xf>
    <xf numFmtId="164" fontId="52" fillId="33" borderId="13" xfId="44" applyNumberFormat="1" applyFont="1" applyFill="1" applyBorder="1" applyAlignment="1">
      <alignment horizontal="left"/>
    </xf>
    <xf numFmtId="164" fontId="0" fillId="0" borderId="42" xfId="0" applyNumberFormat="1" applyBorder="1" applyAlignment="1">
      <alignment/>
    </xf>
    <xf numFmtId="164" fontId="0" fillId="0" borderId="38" xfId="0" applyNumberFormat="1" applyFont="1" applyBorder="1" applyAlignment="1">
      <alignment/>
    </xf>
    <xf numFmtId="164" fontId="56" fillId="0" borderId="13" xfId="0" applyNumberFormat="1" applyFont="1" applyBorder="1" applyAlignment="1">
      <alignment/>
    </xf>
    <xf numFmtId="164" fontId="56" fillId="34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ableStyleLight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28">
      <pane xSplit="1" topLeftCell="B1" activePane="topRight" state="frozen"/>
      <selection pane="topLeft" activeCell="A1" sqref="A1"/>
      <selection pane="topRight" activeCell="N43" sqref="A1:N43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8.0039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0.140625" style="0" bestFit="1" customWidth="1"/>
  </cols>
  <sheetData>
    <row r="1" spans="1:14" ht="18">
      <c r="A1" s="186" t="s">
        <v>102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1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3"/>
      <c r="P2" s="1"/>
      <c r="Q2" s="1"/>
    </row>
    <row r="3" spans="1:15" ht="12.75">
      <c r="A3" s="22" t="s">
        <v>7</v>
      </c>
      <c r="B3" s="23">
        <v>1100.59</v>
      </c>
      <c r="C3" s="13">
        <v>1307.82</v>
      </c>
      <c r="D3" s="13">
        <v>529.78</v>
      </c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42">SUM(B3:M3)</f>
        <v>2938.1899999999996</v>
      </c>
      <c r="O3" s="4"/>
    </row>
    <row r="4" spans="1:15" ht="12.75">
      <c r="A4" s="25" t="s">
        <v>8</v>
      </c>
      <c r="B4" s="26">
        <v>441.77</v>
      </c>
      <c r="C4" s="13">
        <v>1307.82</v>
      </c>
      <c r="D4" s="16"/>
      <c r="E4" s="17">
        <v>467.11</v>
      </c>
      <c r="F4" s="16"/>
      <c r="G4" s="16"/>
      <c r="H4" s="16"/>
      <c r="I4" s="16">
        <v>1379.88</v>
      </c>
      <c r="J4" s="16"/>
      <c r="K4" s="16"/>
      <c r="L4" s="16">
        <v>59.85</v>
      </c>
      <c r="M4" s="16"/>
      <c r="N4" s="18">
        <f t="shared" si="0"/>
        <v>3656.43</v>
      </c>
      <c r="O4" s="4"/>
    </row>
    <row r="5" spans="1:15" ht="12.75">
      <c r="A5" s="25" t="s">
        <v>100</v>
      </c>
      <c r="B5" s="26">
        <v>441.77</v>
      </c>
      <c r="C5" s="13">
        <v>2615.64</v>
      </c>
      <c r="D5" s="16"/>
      <c r="E5" s="17"/>
      <c r="F5" s="16"/>
      <c r="G5" s="16"/>
      <c r="H5" s="16"/>
      <c r="I5" s="16"/>
      <c r="J5" s="16"/>
      <c r="K5" s="16"/>
      <c r="L5" s="104"/>
      <c r="M5" s="16"/>
      <c r="N5" s="18">
        <f t="shared" si="0"/>
        <v>3057.41</v>
      </c>
      <c r="O5" s="4"/>
    </row>
    <row r="6" spans="1:15" ht="12.75">
      <c r="A6" s="22" t="s">
        <v>11</v>
      </c>
      <c r="B6" s="23">
        <v>441.77</v>
      </c>
      <c r="C6" s="13">
        <v>1307.82</v>
      </c>
      <c r="D6" s="13"/>
      <c r="E6" s="14"/>
      <c r="F6" s="13"/>
      <c r="G6" s="13">
        <v>2299.8</v>
      </c>
      <c r="H6" s="13"/>
      <c r="I6" s="13"/>
      <c r="J6" s="13"/>
      <c r="K6" s="13"/>
      <c r="M6" s="13"/>
      <c r="N6" s="15">
        <f t="shared" si="0"/>
        <v>4049.3900000000003</v>
      </c>
      <c r="O6" s="4"/>
    </row>
    <row r="7" spans="1:15" ht="12.75">
      <c r="A7" s="25" t="s">
        <v>12</v>
      </c>
      <c r="B7" s="26">
        <v>598.79</v>
      </c>
      <c r="C7" s="13">
        <v>1307.82</v>
      </c>
      <c r="D7" s="16"/>
      <c r="E7" s="17"/>
      <c r="F7" s="16"/>
      <c r="G7" s="16"/>
      <c r="H7" s="16">
        <v>459.96</v>
      </c>
      <c r="I7" s="16"/>
      <c r="J7" s="16"/>
      <c r="K7" s="16">
        <v>300</v>
      </c>
      <c r="L7" s="13">
        <v>198.69</v>
      </c>
      <c r="M7" s="16"/>
      <c r="N7" s="18">
        <f t="shared" si="0"/>
        <v>2865.2599999999998</v>
      </c>
      <c r="O7" s="4"/>
    </row>
    <row r="8" spans="1:15" ht="12.75">
      <c r="A8" s="25" t="s">
        <v>84</v>
      </c>
      <c r="B8" s="23">
        <v>441.77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4"/>
    </row>
    <row r="9" spans="1:15" ht="12.75">
      <c r="A9" s="22" t="s">
        <v>83</v>
      </c>
      <c r="B9" s="23">
        <v>441.77</v>
      </c>
      <c r="C9" s="13">
        <v>1307.82</v>
      </c>
      <c r="D9" s="13"/>
      <c r="E9" s="14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2249.59</v>
      </c>
      <c r="O9" s="4"/>
    </row>
    <row r="10" spans="1:15" ht="12.75">
      <c r="A10" s="25" t="s">
        <v>14</v>
      </c>
      <c r="B10" s="26">
        <v>441.77</v>
      </c>
      <c r="C10" s="13">
        <v>1307.82</v>
      </c>
      <c r="D10" s="16"/>
      <c r="E10" s="17">
        <v>558.13</v>
      </c>
      <c r="F10" s="16"/>
      <c r="G10" s="16"/>
      <c r="H10" s="16"/>
      <c r="I10" s="16"/>
      <c r="J10" s="16"/>
      <c r="K10" s="16"/>
      <c r="L10" s="16"/>
      <c r="M10" s="16">
        <v>500</v>
      </c>
      <c r="N10" s="18">
        <f t="shared" si="0"/>
        <v>2807.72</v>
      </c>
      <c r="O10" s="4"/>
    </row>
    <row r="11" spans="1:15" ht="12.75">
      <c r="A11" s="22" t="s">
        <v>15</v>
      </c>
      <c r="B11" s="23">
        <v>544.65</v>
      </c>
      <c r="C11" s="13">
        <v>1307.82</v>
      </c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5">
        <f t="shared" si="0"/>
        <v>1852.4699999999998</v>
      </c>
      <c r="O11" s="4"/>
    </row>
    <row r="12" spans="1:15" ht="12.75">
      <c r="A12" s="25" t="s">
        <v>16</v>
      </c>
      <c r="B12" s="26">
        <v>701.67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8">
        <f t="shared" si="0"/>
        <v>2009.4899999999998</v>
      </c>
      <c r="O12" s="4"/>
    </row>
    <row r="13" spans="1:15" ht="12.75">
      <c r="A13" s="22" t="s">
        <v>17</v>
      </c>
      <c r="B13" s="23">
        <v>707.09</v>
      </c>
      <c r="C13" s="13">
        <v>1307.82</v>
      </c>
      <c r="D13" s="13"/>
      <c r="E13" s="14">
        <v>558.99</v>
      </c>
      <c r="F13" s="13"/>
      <c r="G13" s="13"/>
      <c r="H13" s="13"/>
      <c r="I13" s="13"/>
      <c r="J13" s="13"/>
      <c r="K13" s="13"/>
      <c r="L13" s="13"/>
      <c r="M13" s="13"/>
      <c r="N13" s="15">
        <f t="shared" si="0"/>
        <v>2573.8999999999996</v>
      </c>
      <c r="O13" s="4"/>
    </row>
    <row r="14" spans="1:15" s="66" customFormat="1" ht="12.75">
      <c r="A14" s="25" t="s">
        <v>18</v>
      </c>
      <c r="B14" s="26">
        <v>441.77</v>
      </c>
      <c r="C14" s="13">
        <v>1307.82</v>
      </c>
      <c r="D14" s="16"/>
      <c r="E14" s="17">
        <f>419.97+593.58</f>
        <v>1013.5500000000001</v>
      </c>
      <c r="F14" s="16"/>
      <c r="G14" s="16"/>
      <c r="H14" s="16"/>
      <c r="I14" s="16"/>
      <c r="J14" s="16"/>
      <c r="K14" s="16"/>
      <c r="L14" s="16"/>
      <c r="M14" s="16"/>
      <c r="N14" s="18">
        <f t="shared" si="0"/>
        <v>2763.14</v>
      </c>
      <c r="O14" s="65"/>
    </row>
    <row r="15" spans="1:15" ht="12.75">
      <c r="A15" s="22" t="s">
        <v>19</v>
      </c>
      <c r="B15" s="23">
        <v>485.08</v>
      </c>
      <c r="C15" s="13">
        <v>1307.82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1792.8999999999999</v>
      </c>
      <c r="O15" s="4"/>
    </row>
    <row r="16" spans="1:15" ht="12.75">
      <c r="A16" s="22" t="s">
        <v>93</v>
      </c>
      <c r="B16" s="23">
        <v>441.77</v>
      </c>
      <c r="C16" s="13">
        <v>1307.82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4"/>
    </row>
    <row r="17" spans="1:15" s="66" customFormat="1" ht="12.75">
      <c r="A17" s="25" t="s">
        <v>20</v>
      </c>
      <c r="B17" s="26">
        <v>441.77</v>
      </c>
      <c r="C17" s="13">
        <v>1307.82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8">
        <f t="shared" si="0"/>
        <v>1749.59</v>
      </c>
      <c r="O17" s="65"/>
    </row>
    <row r="18" spans="1:15" ht="12.75">
      <c r="A18" s="22" t="s">
        <v>21</v>
      </c>
      <c r="B18" s="23">
        <v>441.77</v>
      </c>
      <c r="C18" s="13">
        <v>1307.82</v>
      </c>
      <c r="D18" s="13">
        <v>184.62</v>
      </c>
      <c r="E18" s="14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2434.21</v>
      </c>
      <c r="O18" s="4"/>
    </row>
    <row r="19" spans="1:15" ht="12.75">
      <c r="A19" s="25" t="s">
        <v>22</v>
      </c>
      <c r="B19" s="26">
        <v>490.5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8">
        <f t="shared" si="0"/>
        <v>1798.32</v>
      </c>
      <c r="O19" s="4"/>
    </row>
    <row r="20" spans="1:15" ht="12.75">
      <c r="A20" s="22" t="s">
        <v>23</v>
      </c>
      <c r="B20" s="23">
        <v>441.77</v>
      </c>
      <c r="C20" s="13">
        <v>1307.82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4"/>
    </row>
    <row r="21" spans="1:15" ht="12.75">
      <c r="A21" s="25" t="s">
        <v>24</v>
      </c>
      <c r="B21" s="26">
        <v>441.77</v>
      </c>
      <c r="C21" s="13">
        <v>1307.82</v>
      </c>
      <c r="D21" s="16"/>
      <c r="E21" s="17">
        <v>656.53</v>
      </c>
      <c r="F21" s="16"/>
      <c r="G21" s="16"/>
      <c r="H21" s="16"/>
      <c r="I21" s="16"/>
      <c r="J21" s="16"/>
      <c r="K21" s="16"/>
      <c r="L21" s="16"/>
      <c r="M21" s="16"/>
      <c r="N21" s="18">
        <f t="shared" si="0"/>
        <v>2406.12</v>
      </c>
      <c r="O21" s="4"/>
    </row>
    <row r="22" spans="1:15" ht="12.75">
      <c r="A22" s="22" t="s">
        <v>25</v>
      </c>
      <c r="B22" s="23">
        <v>441.77</v>
      </c>
      <c r="C22" s="13">
        <v>1307.82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1749.59</v>
      </c>
      <c r="O22" s="4"/>
    </row>
    <row r="23" spans="1:15" ht="12.75">
      <c r="A23" s="25" t="s">
        <v>26</v>
      </c>
      <c r="B23" s="26">
        <v>441.77</v>
      </c>
      <c r="C23" s="13">
        <v>1307.82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8">
        <f t="shared" si="0"/>
        <v>1749.59</v>
      </c>
      <c r="O23" s="4"/>
    </row>
    <row r="24" spans="1:15" ht="12.75">
      <c r="A24" s="22" t="s">
        <v>27</v>
      </c>
      <c r="B24" s="23">
        <v>441.77</v>
      </c>
      <c r="C24" s="13">
        <v>1307.82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4"/>
    </row>
    <row r="25" spans="1:15" ht="12.75">
      <c r="A25" s="25" t="s">
        <v>28</v>
      </c>
      <c r="B25" s="26">
        <v>647.53</v>
      </c>
      <c r="C25" s="13">
        <v>1307.82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8">
        <f t="shared" si="0"/>
        <v>1955.35</v>
      </c>
      <c r="O25" s="4"/>
    </row>
    <row r="26" spans="1:15" ht="12.75">
      <c r="A26" s="22" t="s">
        <v>29</v>
      </c>
      <c r="B26" s="23">
        <v>522.99</v>
      </c>
      <c r="C26" s="13">
        <v>1307.82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1830.81</v>
      </c>
      <c r="O26" s="4"/>
    </row>
    <row r="27" spans="1:15" ht="12.75">
      <c r="A27" s="22" t="s">
        <v>31</v>
      </c>
      <c r="B27" s="23">
        <v>495.91</v>
      </c>
      <c r="C27" s="13">
        <v>1307.82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1803.73</v>
      </c>
      <c r="O27" s="4"/>
    </row>
    <row r="28" spans="1:15" ht="12.75">
      <c r="A28" s="25" t="s">
        <v>32</v>
      </c>
      <c r="B28" s="26">
        <v>441.77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8">
        <f t="shared" si="0"/>
        <v>1749.59</v>
      </c>
      <c r="O28" s="4"/>
    </row>
    <row r="29" spans="1:15" ht="12.75">
      <c r="A29" s="22" t="s">
        <v>33</v>
      </c>
      <c r="B29" s="23">
        <v>441.77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1749.59</v>
      </c>
      <c r="O29" s="4"/>
    </row>
    <row r="30" spans="1:15" ht="12.75">
      <c r="A30" s="25" t="s">
        <v>34</v>
      </c>
      <c r="B30" s="26">
        <v>495.91</v>
      </c>
      <c r="C30" s="13">
        <v>1307.82</v>
      </c>
      <c r="D30" s="19"/>
      <c r="E30" s="17"/>
      <c r="F30" s="20"/>
      <c r="G30" s="20"/>
      <c r="H30" s="16"/>
      <c r="I30" s="16"/>
      <c r="J30" s="16"/>
      <c r="K30" s="16"/>
      <c r="L30" s="19">
        <v>80.04</v>
      </c>
      <c r="M30" s="19">
        <v>500</v>
      </c>
      <c r="N30" s="18">
        <f t="shared" si="0"/>
        <v>2383.77</v>
      </c>
      <c r="O30" s="4"/>
    </row>
    <row r="31" spans="1:15" ht="12.75">
      <c r="A31" s="22" t="s">
        <v>35</v>
      </c>
      <c r="B31" s="23">
        <v>522.99</v>
      </c>
      <c r="C31" s="13">
        <v>1307.82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1830.81</v>
      </c>
      <c r="O31" s="4"/>
    </row>
    <row r="32" spans="1:15" ht="12.75">
      <c r="A32" s="25" t="s">
        <v>36</v>
      </c>
      <c r="B32" s="26">
        <v>441.77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8">
        <f t="shared" si="0"/>
        <v>2249.59</v>
      </c>
      <c r="O32" s="4"/>
    </row>
    <row r="33" spans="1:15" ht="12.75">
      <c r="A33" s="25" t="s">
        <v>82</v>
      </c>
      <c r="B33" s="23">
        <v>441.77</v>
      </c>
      <c r="C33" s="13">
        <v>1307.82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4"/>
    </row>
    <row r="34" spans="1:15" ht="12.75">
      <c r="A34" s="22" t="s">
        <v>39</v>
      </c>
      <c r="B34" s="26">
        <v>593.38</v>
      </c>
      <c r="C34" s="13">
        <v>1307.82</v>
      </c>
      <c r="D34" s="16"/>
      <c r="E34" s="17"/>
      <c r="F34" s="16"/>
      <c r="G34" s="16"/>
      <c r="H34" s="16"/>
      <c r="I34" s="16"/>
      <c r="J34" s="16">
        <v>459.96</v>
      </c>
      <c r="K34" s="16"/>
      <c r="L34" s="16"/>
      <c r="M34" s="16"/>
      <c r="N34" s="18">
        <f t="shared" si="0"/>
        <v>2361.16</v>
      </c>
      <c r="O34" s="4"/>
    </row>
    <row r="35" spans="1:15" ht="12.75">
      <c r="A35" s="25" t="s">
        <v>40</v>
      </c>
      <c r="B35" s="26">
        <v>636.7</v>
      </c>
      <c r="C35" s="13">
        <v>1307.82</v>
      </c>
      <c r="D35" s="13"/>
      <c r="E35" s="14">
        <v>692.45</v>
      </c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3136.9700000000003</v>
      </c>
      <c r="O35" s="4"/>
    </row>
    <row r="36" spans="1:15" ht="12.75">
      <c r="A36" s="22" t="s">
        <v>41</v>
      </c>
      <c r="B36" s="26">
        <v>441.77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>
        <v>59.24</v>
      </c>
      <c r="L36" s="16">
        <v>76.13</v>
      </c>
      <c r="M36" s="16"/>
      <c r="N36" s="18">
        <f t="shared" si="0"/>
        <v>1884.96</v>
      </c>
      <c r="O36" s="4"/>
    </row>
    <row r="37" spans="1:15" ht="12.75">
      <c r="A37" s="25" t="s">
        <v>42</v>
      </c>
      <c r="B37" s="23">
        <v>663.77</v>
      </c>
      <c r="C37" s="13">
        <v>1307.82</v>
      </c>
      <c r="D37" s="13"/>
      <c r="E37" s="106">
        <f>747.12+671.02+372.17+428.6+191.56+453.84</f>
        <v>2864.31</v>
      </c>
      <c r="F37" s="13"/>
      <c r="G37" s="13"/>
      <c r="H37" s="16"/>
      <c r="I37" s="13"/>
      <c r="J37" s="16">
        <v>459.96</v>
      </c>
      <c r="K37" s="13"/>
      <c r="L37" s="13">
        <v>258.21</v>
      </c>
      <c r="M37" s="13"/>
      <c r="N37" s="15">
        <f t="shared" si="0"/>
        <v>5554.07</v>
      </c>
      <c r="O37" s="4"/>
    </row>
    <row r="38" spans="1:15" ht="12.75">
      <c r="A38" s="22" t="s">
        <v>43</v>
      </c>
      <c r="B38" s="88">
        <v>512.16</v>
      </c>
      <c r="C38" s="13">
        <v>1307.82</v>
      </c>
      <c r="D38" s="104"/>
      <c r="E38" s="73"/>
      <c r="F38" s="27"/>
      <c r="G38" s="27"/>
      <c r="H38" s="27"/>
      <c r="I38" s="27"/>
      <c r="J38" s="27"/>
      <c r="K38" s="27"/>
      <c r="L38" s="27"/>
      <c r="M38" s="27"/>
      <c r="N38" s="90">
        <f t="shared" si="0"/>
        <v>1819.98</v>
      </c>
      <c r="O38" s="4"/>
    </row>
    <row r="39" spans="1:15" ht="12.75">
      <c r="A39" s="25" t="s">
        <v>44</v>
      </c>
      <c r="B39" s="92">
        <v>441.77</v>
      </c>
      <c r="C39" s="13">
        <v>1307.82</v>
      </c>
      <c r="D39" s="101"/>
      <c r="E39" s="72"/>
      <c r="F39" s="105"/>
      <c r="G39" s="73"/>
      <c r="H39" s="73"/>
      <c r="I39" s="73"/>
      <c r="J39" s="73"/>
      <c r="K39" s="73"/>
      <c r="L39" s="73"/>
      <c r="M39" s="73"/>
      <c r="N39" s="91">
        <f t="shared" si="0"/>
        <v>1749.59</v>
      </c>
      <c r="O39" s="4"/>
    </row>
    <row r="40" spans="1:15" ht="12.75">
      <c r="A40" s="22" t="s">
        <v>45</v>
      </c>
      <c r="B40" s="92">
        <v>620.45</v>
      </c>
      <c r="C40" s="13">
        <v>1307.82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91">
        <f t="shared" si="0"/>
        <v>1928.27</v>
      </c>
      <c r="O40" s="4"/>
    </row>
    <row r="41" spans="1:15" ht="12.75">
      <c r="A41" s="87" t="s">
        <v>46</v>
      </c>
      <c r="B41" s="92">
        <v>447.18</v>
      </c>
      <c r="C41" s="13">
        <v>1307.82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9">
        <f t="shared" si="0"/>
        <v>1755</v>
      </c>
      <c r="O41" s="4"/>
    </row>
    <row r="42" spans="1:15" ht="12.75">
      <c r="A42" s="102" t="s">
        <v>91</v>
      </c>
      <c r="B42" s="103">
        <v>734.16</v>
      </c>
      <c r="C42" s="13">
        <v>1307.82</v>
      </c>
      <c r="D42" s="100"/>
      <c r="E42" s="100"/>
      <c r="F42" s="100"/>
      <c r="G42" s="100"/>
      <c r="H42" s="16"/>
      <c r="I42" s="100"/>
      <c r="J42" s="16">
        <v>459.96</v>
      </c>
      <c r="K42" s="100"/>
      <c r="L42" s="100"/>
      <c r="M42" s="100"/>
      <c r="N42" s="28">
        <f t="shared" si="0"/>
        <v>2501.94</v>
      </c>
      <c r="O42" s="4"/>
    </row>
    <row r="43" spans="1:14" ht="13.5" thickBot="1">
      <c r="A43" s="81"/>
      <c r="B43" s="97">
        <f aca="true" t="shared" si="1" ref="B43:N43">SUM(B3:B42)</f>
        <v>20798.670000000006</v>
      </c>
      <c r="C43" s="97">
        <f t="shared" si="1"/>
        <v>53620.619999999995</v>
      </c>
      <c r="D43" s="97">
        <f t="shared" si="1"/>
        <v>714.4</v>
      </c>
      <c r="E43" s="97">
        <f t="shared" si="1"/>
        <v>6811.07</v>
      </c>
      <c r="F43" s="97">
        <f t="shared" si="1"/>
        <v>0</v>
      </c>
      <c r="G43" s="97">
        <f t="shared" si="1"/>
        <v>2299.8</v>
      </c>
      <c r="H43" s="97">
        <f t="shared" si="1"/>
        <v>459.96</v>
      </c>
      <c r="I43" s="97">
        <f t="shared" si="1"/>
        <v>1379.88</v>
      </c>
      <c r="J43" s="97">
        <f>SUM(J3:J42)</f>
        <v>1379.8799999999999</v>
      </c>
      <c r="K43" s="97">
        <f t="shared" si="1"/>
        <v>359.24</v>
      </c>
      <c r="L43" s="97">
        <f t="shared" si="1"/>
        <v>672.9200000000001</v>
      </c>
      <c r="M43" s="97">
        <f t="shared" si="1"/>
        <v>3000</v>
      </c>
      <c r="N43" s="97">
        <f t="shared" si="1"/>
        <v>91496.43999999997</v>
      </c>
    </row>
    <row r="44" ht="13.5" thickTop="1">
      <c r="C44" s="93"/>
    </row>
  </sheetData>
  <sheetProtection/>
  <mergeCells count="1">
    <mergeCell ref="A1:N1"/>
  </mergeCells>
  <printOptions gridLine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33">
      <pane xSplit="1" topLeftCell="B1" activePane="topRight" state="frozen"/>
      <selection pane="topLeft" activeCell="A1" sqref="A1"/>
      <selection pane="topRight" activeCell="E42" sqref="E42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11.140625" style="0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0.140625" style="0" bestFit="1" customWidth="1"/>
  </cols>
  <sheetData>
    <row r="1" spans="1:14" ht="18">
      <c r="A1" s="186" t="s">
        <v>111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51.7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97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0</v>
      </c>
      <c r="O3" s="24">
        <f>'Oct 19'!$N3+'Sept 19'!$O3</f>
        <v>15371.41</v>
      </c>
    </row>
    <row r="4" spans="1:15" ht="12.75">
      <c r="A4" s="25" t="s">
        <v>8</v>
      </c>
      <c r="B4" s="122">
        <v>444.61</v>
      </c>
      <c r="C4" s="13">
        <v>1330.74</v>
      </c>
      <c r="D4" s="16"/>
      <c r="E4" s="168">
        <v>655.93</v>
      </c>
      <c r="F4" s="16"/>
      <c r="G4" s="16"/>
      <c r="H4" s="16"/>
      <c r="I4" s="16"/>
      <c r="J4" s="16"/>
      <c r="K4" s="16"/>
      <c r="L4" s="16"/>
      <c r="M4" s="16"/>
      <c r="N4" s="15">
        <f t="shared" si="0"/>
        <v>2431.2799999999997</v>
      </c>
      <c r="O4" s="24">
        <f>'Oct 19'!$N4+'Sept 19'!$O4</f>
        <v>32212.89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'Oct 19'!$N5+'Sept 19'!$O5</f>
        <v>10559.86</v>
      </c>
    </row>
    <row r="6" spans="1:15" ht="12.75">
      <c r="A6" s="22" t="s">
        <v>11</v>
      </c>
      <c r="B6" s="122">
        <v>444.61</v>
      </c>
      <c r="C6" s="13">
        <v>1330.74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5">
        <f t="shared" si="0"/>
        <v>3155.23</v>
      </c>
      <c r="O6" s="24">
        <f>'Oct 19'!$N6+'Sept 19'!$O6</f>
        <v>45351.68</v>
      </c>
    </row>
    <row r="7" spans="1:15" ht="12.75">
      <c r="A7" s="25" t="s">
        <v>12</v>
      </c>
      <c r="B7" s="122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>
        <v>127.77</v>
      </c>
      <c r="M7" s="16"/>
      <c r="N7" s="15">
        <f t="shared" si="0"/>
        <v>2125.18</v>
      </c>
      <c r="O7" s="24">
        <f>'Oct 19'!$N7+'Sept 19'!$O7</f>
        <v>36360.89</v>
      </c>
    </row>
    <row r="8" spans="1:15" ht="12.75">
      <c r="A8" s="25" t="s">
        <v>84</v>
      </c>
      <c r="B8" s="122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1775.35</v>
      </c>
      <c r="O8" s="24">
        <f>'Oct 19'!$N8+'Sept 19'!$O8</f>
        <v>18813.36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'Oct 19'!$N9+'Sept 19'!$O9</f>
        <v>13698.640000000001</v>
      </c>
    </row>
    <row r="10" spans="1:15" ht="12.75">
      <c r="A10" s="25" t="s">
        <v>14</v>
      </c>
      <c r="B10" s="122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>
        <v>295.87</v>
      </c>
      <c r="M10" s="16"/>
      <c r="N10" s="15">
        <f t="shared" si="0"/>
        <v>2071.22</v>
      </c>
      <c r="O10" s="24">
        <f>'Oct 19'!$N10+'Sept 19'!$O10</f>
        <v>22569.89</v>
      </c>
    </row>
    <row r="11" spans="1:15" ht="12.75">
      <c r="A11" s="22" t="s">
        <v>15</v>
      </c>
      <c r="B11" s="122">
        <v>590.1</v>
      </c>
      <c r="C11" s="13">
        <v>1330.74</v>
      </c>
      <c r="D11" s="13"/>
      <c r="E11" s="161">
        <f>462.32+270.01</f>
        <v>732.3299999999999</v>
      </c>
      <c r="F11" s="13"/>
      <c r="G11" s="13"/>
      <c r="H11" s="13"/>
      <c r="I11" s="13"/>
      <c r="J11" s="13">
        <v>459.96</v>
      </c>
      <c r="K11" s="13"/>
      <c r="L11" s="13">
        <v>87.85</v>
      </c>
      <c r="M11" s="13"/>
      <c r="N11" s="15">
        <f t="shared" si="0"/>
        <v>3200.98</v>
      </c>
      <c r="O11" s="24">
        <f>'Oct 19'!$N11+'Sept 19'!$O11</f>
        <v>23969.35</v>
      </c>
    </row>
    <row r="12" spans="1:15" ht="12.75">
      <c r="A12" s="25" t="s">
        <v>16</v>
      </c>
      <c r="B12" s="122">
        <v>746.29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2077.0299999999997</v>
      </c>
      <c r="O12" s="24">
        <f>'Oct 19'!$N12+'Sept 19'!$O12</f>
        <v>23226.239999999998</v>
      </c>
    </row>
    <row r="13" spans="1:15" ht="12.75">
      <c r="A13" s="22" t="s">
        <v>17</v>
      </c>
      <c r="B13" s="122">
        <v>749.24</v>
      </c>
      <c r="C13" s="13">
        <v>1330.74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2079.98</v>
      </c>
      <c r="O13" s="24">
        <f>'Oct 19'!$N13+'Sept 19'!$O13</f>
        <v>26886.38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'Oct 19'!$N14+'Sept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'Oct 19'!$N15+'Sept 19'!$O15</f>
        <v>10280.27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'Oct 19'!$N16+'Sept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'Oct 19'!$N17+'Sept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'Oct 19'!$N18+'Sept 19'!$O18</f>
        <v>12378.43</v>
      </c>
    </row>
    <row r="19" spans="1:15" ht="12.75">
      <c r="A19" s="25" t="s">
        <v>22</v>
      </c>
      <c r="B19" s="122">
        <v>551.81</v>
      </c>
      <c r="C19" s="13">
        <v>1330.74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1882.55</v>
      </c>
      <c r="O19" s="24">
        <f>'Oct 19'!$N19+'Sept 19'!$O19</f>
        <v>19593.01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'Oct 19'!$N20+'Sept 19'!$O20</f>
        <v>9790.6</v>
      </c>
    </row>
    <row r="21" spans="1:15" ht="12.75">
      <c r="A21" s="25" t="s">
        <v>24</v>
      </c>
      <c r="B21" s="122">
        <v>444.61</v>
      </c>
      <c r="C21" s="13">
        <v>1330.74</v>
      </c>
      <c r="D21" s="16"/>
      <c r="E21" s="168">
        <f>571.09+611.2</f>
        <v>1182.29</v>
      </c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3457.64</v>
      </c>
      <c r="O21" s="24">
        <f>'Oct 19'!$N21+'Sept 19'!$O21</f>
        <v>24704.510000000002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'Oct 19'!$N22+'Sept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'Oct 19'!$N23+'Sept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'Oct 19'!$N24+'Sept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'Oct 19'!$N25+'Sept 19'!$O25</f>
        <v>11102.28</v>
      </c>
    </row>
    <row r="26" spans="1:15" ht="12.75">
      <c r="A26" s="22" t="s">
        <v>29</v>
      </c>
      <c r="B26" s="122">
        <v>567.13</v>
      </c>
      <c r="C26" s="13">
        <v>1330.74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1897.87</v>
      </c>
      <c r="O26" s="24">
        <f>'Oct 19'!$N26+'Sept 19'!$O26</f>
        <v>19502.489999999998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'Oct 19'!$N27+'Sept 19'!$O27</f>
        <v>12019.580000000002</v>
      </c>
    </row>
    <row r="28" spans="1:15" ht="12.75">
      <c r="A28" s="25" t="s">
        <v>32</v>
      </c>
      <c r="B28" s="122">
        <v>459.93</v>
      </c>
      <c r="C28" s="13">
        <v>1330.74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1790.67</v>
      </c>
      <c r="O28" s="24">
        <f>'Oct 19'!$N28+'Sept 19'!$O28</f>
        <v>17844.5</v>
      </c>
    </row>
    <row r="29" spans="1:15" ht="12.75">
      <c r="A29" s="22" t="s">
        <v>33</v>
      </c>
      <c r="B29" s="122">
        <v>444.61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1775.35</v>
      </c>
      <c r="O29" s="24">
        <f>'Oct 19'!$N29+'Sept 19'!$O29</f>
        <v>17243.829999999998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5">
        <f t="shared" si="0"/>
        <v>0</v>
      </c>
      <c r="O30" s="24">
        <f>'Oct 19'!$N30+'Sept 19'!$O30</f>
        <v>13200.71</v>
      </c>
    </row>
    <row r="31" spans="1:15" ht="12.75">
      <c r="A31" s="22" t="s">
        <v>35</v>
      </c>
      <c r="B31" s="122">
        <v>559.47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1890.21</v>
      </c>
      <c r="O31" s="24">
        <f>'Oct 19'!$N31+'Sept 19'!$O31</f>
        <v>19874.18</v>
      </c>
    </row>
    <row r="32" spans="1:15" ht="12.75">
      <c r="A32" s="25" t="s">
        <v>36</v>
      </c>
      <c r="B32" s="122">
        <v>444.61</v>
      </c>
      <c r="C32" s="13">
        <v>1330.74</v>
      </c>
      <c r="D32" s="16"/>
      <c r="E32" s="168">
        <v>645.91</v>
      </c>
      <c r="F32" s="16"/>
      <c r="G32" s="16"/>
      <c r="H32" s="16"/>
      <c r="I32" s="16"/>
      <c r="J32" s="16"/>
      <c r="K32" s="16"/>
      <c r="L32" s="16">
        <v>147.43</v>
      </c>
      <c r="M32" s="16">
        <v>500</v>
      </c>
      <c r="N32" s="15">
        <f t="shared" si="0"/>
        <v>3068.6899999999996</v>
      </c>
      <c r="O32" s="24">
        <f>'Oct 19'!$N32+'Sept 19'!$O32</f>
        <v>28870.959999999995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'Oct 19'!$N33+'Sept 19'!$O33</f>
        <v>9943.810000000001</v>
      </c>
    </row>
    <row r="34" spans="1:15" ht="12.75">
      <c r="A34" s="22" t="s">
        <v>39</v>
      </c>
      <c r="B34" s="122">
        <v>659.01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2489.75</v>
      </c>
      <c r="O34" s="24">
        <f>'Oct 19'!$N34+'Sept 19'!$O34</f>
        <v>26751.65</v>
      </c>
    </row>
    <row r="35" spans="1:15" ht="12.75">
      <c r="A35" s="25" t="s">
        <v>40</v>
      </c>
      <c r="B35" s="122">
        <v>707.9</v>
      </c>
      <c r="C35" s="13">
        <v>1330.74</v>
      </c>
      <c r="D35" s="13"/>
      <c r="E35" s="161">
        <f>722.75+73</f>
        <v>795.75</v>
      </c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3794.35</v>
      </c>
      <c r="O35" s="24">
        <f>'Oct 19'!$N35+'Sept 19'!$O35</f>
        <v>31506.789999999997</v>
      </c>
    </row>
    <row r="36" spans="1:15" ht="12.75">
      <c r="A36" s="22" t="s">
        <v>41</v>
      </c>
      <c r="B36" s="122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>
        <v>60</v>
      </c>
      <c r="L36" s="16">
        <v>63.22</v>
      </c>
      <c r="M36" s="16"/>
      <c r="N36" s="15">
        <f t="shared" si="0"/>
        <v>1898.57</v>
      </c>
      <c r="O36" s="24">
        <f>'Oct 19'!$N36+'Sept 19'!$O36</f>
        <v>19071.95</v>
      </c>
    </row>
    <row r="37" spans="1:15" ht="12.75">
      <c r="A37" s="25" t="s">
        <v>42</v>
      </c>
      <c r="B37" s="122">
        <v>725.62</v>
      </c>
      <c r="C37" s="13">
        <v>1330.74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2056.36</v>
      </c>
      <c r="O37" s="24">
        <f>'Oct 19'!$N37+'Sept 19'!$O37</f>
        <v>27731.109999999997</v>
      </c>
    </row>
    <row r="38" spans="1:15" ht="12.75">
      <c r="A38" s="22" t="s">
        <v>43</v>
      </c>
      <c r="B38" s="122">
        <v>544.15</v>
      </c>
      <c r="C38" s="13">
        <v>1330.74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2334.85</v>
      </c>
      <c r="O38" s="24">
        <f>'Oct 19'!$N38+'Sept 19'!$O38</f>
        <v>21825.499999999996</v>
      </c>
    </row>
    <row r="39" spans="1:15" ht="12.75">
      <c r="A39" s="25" t="s">
        <v>44</v>
      </c>
      <c r="B39" s="122">
        <v>528.84</v>
      </c>
      <c r="C39" s="13">
        <v>1330.74</v>
      </c>
      <c r="D39" s="101"/>
      <c r="E39" s="171">
        <v>621.23</v>
      </c>
      <c r="F39" s="182">
        <v>3527.13</v>
      </c>
      <c r="G39" s="73">
        <v>2299.8</v>
      </c>
      <c r="H39" s="73"/>
      <c r="I39" s="73"/>
      <c r="J39" s="73"/>
      <c r="K39" s="122">
        <v>125</v>
      </c>
      <c r="L39" s="122">
        <v>210.06</v>
      </c>
      <c r="M39" s="73"/>
      <c r="N39" s="15">
        <f t="shared" si="0"/>
        <v>8642.800000000001</v>
      </c>
      <c r="O39" s="24">
        <f>'Oct 19'!$N39+'Sept 19'!$O39</f>
        <v>40816.240000000005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125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'Oct 19'!$N40+'Sept 19'!$O40</f>
        <v>9847.25</v>
      </c>
    </row>
    <row r="41" spans="1:15" ht="12.75">
      <c r="A41" s="87" t="s">
        <v>46</v>
      </c>
      <c r="B41" s="122">
        <v>459.93</v>
      </c>
      <c r="C41" s="13">
        <v>1330.74</v>
      </c>
      <c r="D41" s="73"/>
      <c r="E41" s="73"/>
      <c r="F41" s="73"/>
      <c r="G41" s="73"/>
      <c r="H41" s="73"/>
      <c r="I41" s="73"/>
      <c r="J41" s="73"/>
      <c r="K41" s="122"/>
      <c r="L41" s="73"/>
      <c r="M41" s="73"/>
      <c r="N41" s="15">
        <f t="shared" si="0"/>
        <v>1790.67</v>
      </c>
      <c r="O41" s="24">
        <f>'Oct 19'!$N41+'Sept 19'!$O41</f>
        <v>20546.5</v>
      </c>
    </row>
    <row r="42" spans="1:15" ht="13.5" thickBot="1">
      <c r="A42" s="102" t="s">
        <v>91</v>
      </c>
      <c r="B42" s="123">
        <v>643.69</v>
      </c>
      <c r="C42" s="13">
        <v>1330.74</v>
      </c>
      <c r="D42" s="100"/>
      <c r="E42" s="159">
        <f>548.4+548.4+406.26</f>
        <v>1503.06</v>
      </c>
      <c r="F42" s="100"/>
      <c r="G42" s="100"/>
      <c r="H42" s="100">
        <v>459.96</v>
      </c>
      <c r="I42" s="100"/>
      <c r="J42" s="100"/>
      <c r="K42" s="100"/>
      <c r="L42" s="100"/>
      <c r="M42" s="100"/>
      <c r="N42" s="15">
        <f t="shared" si="0"/>
        <v>3937.45</v>
      </c>
      <c r="O42" s="24">
        <f>'Oct 19'!$N42+'Sept 19'!$O42</f>
        <v>31996.7</v>
      </c>
    </row>
    <row r="43" spans="1:15" ht="14.25" thickBot="1" thickTop="1">
      <c r="A43" s="178" t="s">
        <v>130</v>
      </c>
      <c r="B43" s="123">
        <v>0</v>
      </c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5">
        <f t="shared" si="0"/>
        <v>0</v>
      </c>
      <c r="O43" s="24">
        <f>'Oct 19'!$N43+'Sept 19'!$O43</f>
        <v>0</v>
      </c>
    </row>
    <row r="44" spans="1:15" ht="14.2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5">
        <f t="shared" si="0"/>
        <v>1775.35</v>
      </c>
      <c r="O44" s="24">
        <f>'Oct 19'!$N44+'Sept 19'!$O44</f>
        <v>9119.54</v>
      </c>
    </row>
    <row r="45" spans="1:15" ht="14.25" thickBot="1" thickTop="1">
      <c r="A45" s="175" t="s">
        <v>114</v>
      </c>
      <c r="B45" s="123">
        <v>467.59</v>
      </c>
      <c r="C45" s="13">
        <v>1330.74</v>
      </c>
      <c r="D45" s="158"/>
      <c r="E45" s="100"/>
      <c r="F45" s="159"/>
      <c r="G45" s="100"/>
      <c r="H45" s="100"/>
      <c r="I45" s="100"/>
      <c r="J45" s="157"/>
      <c r="K45" s="100"/>
      <c r="L45" s="100"/>
      <c r="M45" s="100"/>
      <c r="N45" s="15">
        <f t="shared" si="0"/>
        <v>1798.33</v>
      </c>
      <c r="O45" s="24">
        <f>'Oct 19'!$N45+'Sept 19'!$O45</f>
        <v>9234.44</v>
      </c>
    </row>
    <row r="46" spans="1:15" ht="14.2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5">
        <f t="shared" si="0"/>
        <v>1920.8400000000001</v>
      </c>
      <c r="O46" s="24">
        <f>'Oct 19'!$N46+'Sept 19'!$O46</f>
        <v>9996.99</v>
      </c>
    </row>
    <row r="47" spans="1:15" ht="14.2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5">
        <f t="shared" si="0"/>
        <v>1783.01</v>
      </c>
      <c r="O47" s="24">
        <f>'Oct 19'!$N47+'Sept 19'!$O47</f>
        <v>9157.84</v>
      </c>
    </row>
    <row r="48" spans="1:15" ht="14.2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5">
        <f t="shared" si="0"/>
        <v>1775.35</v>
      </c>
      <c r="O48" s="24">
        <f>'Oct 19'!$N48+'Sept 19'!$O48</f>
        <v>9119.54</v>
      </c>
    </row>
    <row r="49" spans="1:15" ht="14.25" thickBot="1" thickTop="1">
      <c r="A49" s="175" t="s">
        <v>118</v>
      </c>
      <c r="B49" s="123">
        <v>444.61</v>
      </c>
      <c r="C49" s="13">
        <v>1330.74</v>
      </c>
      <c r="D49" s="158"/>
      <c r="E49" s="100"/>
      <c r="F49" s="159"/>
      <c r="G49" s="100"/>
      <c r="H49" s="100"/>
      <c r="I49" s="100"/>
      <c r="J49" s="157"/>
      <c r="K49" s="100"/>
      <c r="L49" s="100"/>
      <c r="M49" s="100"/>
      <c r="N49" s="15">
        <f t="shared" si="0"/>
        <v>1775.35</v>
      </c>
      <c r="O49" s="24">
        <f>'Oct 19'!$N49+'Sept 19'!$O49</f>
        <v>9205.24</v>
      </c>
    </row>
    <row r="50" spans="1:15" ht="14.25" thickBot="1" thickTop="1">
      <c r="A50" s="175" t="s">
        <v>119</v>
      </c>
      <c r="B50" s="123">
        <v>444.61</v>
      </c>
      <c r="C50" s="13">
        <v>1330.74</v>
      </c>
      <c r="D50" s="158"/>
      <c r="E50" s="100"/>
      <c r="F50" s="159"/>
      <c r="G50" s="100"/>
      <c r="H50" s="100"/>
      <c r="I50" s="100"/>
      <c r="J50" s="157"/>
      <c r="K50" s="100"/>
      <c r="L50" s="100"/>
      <c r="M50" s="100"/>
      <c r="N50" s="15">
        <f t="shared" si="0"/>
        <v>1775.35</v>
      </c>
      <c r="O50" s="24">
        <f>'Oct 19'!$N50+'Sept 19'!$O50</f>
        <v>9223.51</v>
      </c>
    </row>
    <row r="51" spans="1:15" ht="14.25" thickBot="1" thickTop="1">
      <c r="A51" s="175" t="s">
        <v>120</v>
      </c>
      <c r="B51" s="123">
        <v>444.61</v>
      </c>
      <c r="C51" s="13">
        <v>1330.74</v>
      </c>
      <c r="D51" s="158"/>
      <c r="E51" s="100"/>
      <c r="F51" s="159"/>
      <c r="G51" s="100"/>
      <c r="H51" s="100"/>
      <c r="I51" s="100"/>
      <c r="J51" s="157"/>
      <c r="K51" s="100"/>
      <c r="L51" s="100"/>
      <c r="M51" s="100"/>
      <c r="N51" s="15">
        <f t="shared" si="0"/>
        <v>1775.35</v>
      </c>
      <c r="O51" s="24">
        <f>'Oct 19'!$N51+'Sept 19'!$O51</f>
        <v>9119.54</v>
      </c>
    </row>
    <row r="52" spans="1:15" ht="14.25" thickBot="1" thickTop="1">
      <c r="A52" s="175" t="s">
        <v>121</v>
      </c>
      <c r="B52" s="123">
        <v>444.61</v>
      </c>
      <c r="C52" s="13">
        <v>1330.74</v>
      </c>
      <c r="D52" s="158"/>
      <c r="E52" s="100">
        <f>520.21+304.48</f>
        <v>824.69</v>
      </c>
      <c r="F52" s="159"/>
      <c r="G52" s="100"/>
      <c r="H52" s="100"/>
      <c r="I52" s="100"/>
      <c r="J52" s="157"/>
      <c r="K52" s="100"/>
      <c r="L52" s="100"/>
      <c r="M52" s="159">
        <v>500</v>
      </c>
      <c r="N52" s="15">
        <f t="shared" si="0"/>
        <v>3100.04</v>
      </c>
      <c r="O52" s="24">
        <f>'Oct 19'!$N52+'Sept 19'!$O52</f>
        <v>12521.779999999999</v>
      </c>
    </row>
    <row r="53" spans="1:15" ht="14.2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/>
      <c r="M53" s="100"/>
      <c r="N53" s="15">
        <f t="shared" si="0"/>
        <v>1775.35</v>
      </c>
      <c r="O53" s="24">
        <f>'Oct 19'!$N53+'Sept 19'!$O53</f>
        <v>9119.54</v>
      </c>
    </row>
    <row r="54" spans="1:15" ht="14.25" thickBot="1" thickTop="1">
      <c r="A54" s="175" t="s">
        <v>123</v>
      </c>
      <c r="B54" s="123">
        <v>444.61</v>
      </c>
      <c r="C54" s="13">
        <v>1330.74</v>
      </c>
      <c r="D54" s="158"/>
      <c r="E54" s="100"/>
      <c r="F54" s="159"/>
      <c r="G54" s="100"/>
      <c r="H54" s="100"/>
      <c r="I54" s="100"/>
      <c r="J54" s="157"/>
      <c r="K54" s="100"/>
      <c r="L54" s="100"/>
      <c r="M54" s="100"/>
      <c r="N54" s="15">
        <f t="shared" si="0"/>
        <v>1775.35</v>
      </c>
      <c r="O54" s="24">
        <f>'Oct 19'!$N54+'Sept 19'!$O54</f>
        <v>9119.54</v>
      </c>
    </row>
    <row r="55" spans="1:15" ht="14.25" thickBot="1" thickTop="1">
      <c r="A55" s="175" t="s">
        <v>124</v>
      </c>
      <c r="B55" s="123">
        <v>444.61</v>
      </c>
      <c r="C55" s="13">
        <v>1330.74</v>
      </c>
      <c r="D55" s="158"/>
      <c r="E55" s="100"/>
      <c r="F55" s="159"/>
      <c r="G55" s="100"/>
      <c r="H55" s="100"/>
      <c r="I55" s="100"/>
      <c r="J55" s="157"/>
      <c r="K55" s="100"/>
      <c r="L55" s="100"/>
      <c r="M55" s="100"/>
      <c r="N55" s="15">
        <f t="shared" si="0"/>
        <v>1775.35</v>
      </c>
      <c r="O55" s="24">
        <f>'Oct 19'!$N55+'Sept 19'!$O55</f>
        <v>9119.54</v>
      </c>
    </row>
    <row r="56" spans="1:15" ht="14.25" thickBot="1" thickTop="1">
      <c r="A56" s="175" t="s">
        <v>125</v>
      </c>
      <c r="B56" s="123">
        <v>666.67</v>
      </c>
      <c r="C56" s="13">
        <v>1330.74</v>
      </c>
      <c r="D56" s="158"/>
      <c r="E56" s="100"/>
      <c r="F56" s="159"/>
      <c r="G56" s="100"/>
      <c r="H56" s="100"/>
      <c r="I56" s="100"/>
      <c r="J56" s="157"/>
      <c r="K56" s="100"/>
      <c r="L56" s="100"/>
      <c r="M56" s="100"/>
      <c r="N56" s="15">
        <f t="shared" si="0"/>
        <v>1997.4099999999999</v>
      </c>
      <c r="O56" s="24">
        <f>'Oct 19'!$N56+'Sept 19'!$O56</f>
        <v>10229.84</v>
      </c>
    </row>
    <row r="57" spans="1:15" ht="14.25" thickBot="1" thickTop="1">
      <c r="A57" s="175" t="s">
        <v>126</v>
      </c>
      <c r="B57" s="123">
        <v>482.9</v>
      </c>
      <c r="C57" s="13">
        <v>1330.74</v>
      </c>
      <c r="D57" s="158"/>
      <c r="E57" s="100"/>
      <c r="F57" s="159"/>
      <c r="G57" s="100"/>
      <c r="H57" s="100"/>
      <c r="I57" s="100"/>
      <c r="J57" s="157"/>
      <c r="K57" s="100"/>
      <c r="L57" s="100"/>
      <c r="M57" s="100"/>
      <c r="N57" s="15">
        <f t="shared" si="0"/>
        <v>1813.6399999999999</v>
      </c>
      <c r="O57" s="24">
        <f>'Oct 19'!$N57+'Sept 19'!$O57</f>
        <v>9375.55</v>
      </c>
    </row>
    <row r="58" spans="1:15" ht="14.25" thickBot="1" thickTop="1">
      <c r="A58" s="175" t="s">
        <v>127</v>
      </c>
      <c r="B58" s="123">
        <v>444.61</v>
      </c>
      <c r="C58" s="13">
        <v>1330.74</v>
      </c>
      <c r="D58" s="158"/>
      <c r="E58" s="100"/>
      <c r="F58" s="159"/>
      <c r="G58" s="100"/>
      <c r="H58" s="100"/>
      <c r="I58" s="100"/>
      <c r="J58" s="157"/>
      <c r="K58" s="100"/>
      <c r="L58" s="100"/>
      <c r="M58" s="100"/>
      <c r="N58" s="15">
        <f t="shared" si="0"/>
        <v>1775.35</v>
      </c>
      <c r="O58" s="24">
        <f>'Oct 19'!$N58+'Sept 19'!$O58</f>
        <v>9119.54</v>
      </c>
    </row>
    <row r="59" spans="1:15" ht="14.2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/>
      <c r="L59" s="100"/>
      <c r="M59" s="100"/>
      <c r="N59" s="15">
        <f t="shared" si="0"/>
        <v>1775.35</v>
      </c>
      <c r="O59" s="24">
        <f>'Oct 19'!$N59+'Sept 19'!$O59</f>
        <v>9119.54</v>
      </c>
    </row>
    <row r="60" spans="1:15" ht="14.2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/>
      <c r="M60" s="100"/>
      <c r="N60" s="15">
        <f t="shared" si="0"/>
        <v>1775.35</v>
      </c>
      <c r="O60" s="24">
        <f>'Oct 19'!$N60+'Sept 19'!$O60</f>
        <v>9119.54</v>
      </c>
    </row>
    <row r="61" spans="1:15" ht="14.25" thickBot="1" thickTop="1">
      <c r="A61" s="81"/>
      <c r="B61" s="96">
        <f aca="true" t="shared" si="1" ref="B61:O61">SUM(B3:B60)</f>
        <v>20711.510000000006</v>
      </c>
      <c r="C61" s="96">
        <f t="shared" si="1"/>
        <v>53229.599999999984</v>
      </c>
      <c r="D61" s="96">
        <f t="shared" si="1"/>
        <v>0</v>
      </c>
      <c r="E61" s="96">
        <f t="shared" si="1"/>
        <v>6961.1900000000005</v>
      </c>
      <c r="F61" s="96">
        <f t="shared" si="1"/>
        <v>3527.13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185</v>
      </c>
      <c r="L61" s="96">
        <f t="shared" si="1"/>
        <v>932.2</v>
      </c>
      <c r="M61" s="96">
        <f t="shared" si="1"/>
        <v>2500</v>
      </c>
      <c r="N61" s="15">
        <f t="shared" si="1"/>
        <v>93566.15000000004</v>
      </c>
      <c r="O61" s="96">
        <f t="shared" si="1"/>
        <v>952499.9800000003</v>
      </c>
    </row>
    <row r="62" ht="13.5" thickTop="1"/>
  </sheetData>
  <sheetProtection password="F2A9" sheet="1"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32">
      <pane xSplit="1" topLeftCell="B1" activePane="topRight" state="frozen"/>
      <selection pane="topLeft" activeCell="A7" sqref="A7"/>
      <selection pane="topRight" activeCell="D55" sqref="D55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10.14062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</cols>
  <sheetData>
    <row r="1" spans="1:14" ht="18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51.7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98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0</v>
      </c>
      <c r="O3" s="24">
        <f>'Nov 19'!$N3+'Oct 19'!$O3</f>
        <v>15371.41</v>
      </c>
    </row>
    <row r="4" spans="1:15" ht="12.75">
      <c r="A4" s="25" t="s">
        <v>8</v>
      </c>
      <c r="B4" s="122">
        <v>444.61</v>
      </c>
      <c r="C4" s="13">
        <v>1330.74</v>
      </c>
      <c r="D4" s="16"/>
      <c r="E4" s="17">
        <f>234.86+603.53+554.02+301.99</f>
        <v>1694.3999999999999</v>
      </c>
      <c r="F4" s="16"/>
      <c r="G4" s="16"/>
      <c r="H4" s="16"/>
      <c r="I4" s="16"/>
      <c r="J4" s="16"/>
      <c r="K4" s="16">
        <v>225</v>
      </c>
      <c r="L4" s="16">
        <v>155.26</v>
      </c>
      <c r="M4" s="16"/>
      <c r="N4" s="15">
        <f t="shared" si="0"/>
        <v>3850.01</v>
      </c>
      <c r="O4" s="24">
        <f>'Nov 19'!$N4+'Oct 19'!$O4</f>
        <v>36062.9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'Nov 19'!$N5+'Oct 19'!$O5</f>
        <v>10559.86</v>
      </c>
    </row>
    <row r="6" spans="1:15" ht="12.75">
      <c r="A6" s="22" t="s">
        <v>11</v>
      </c>
      <c r="B6" s="122">
        <v>444.61</v>
      </c>
      <c r="C6" s="13">
        <v>1330.74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5">
        <f t="shared" si="0"/>
        <v>3155.23</v>
      </c>
      <c r="O6" s="24">
        <f>'Nov 19'!$N6+'Oct 19'!$O6</f>
        <v>48506.91</v>
      </c>
    </row>
    <row r="7" spans="1:15" ht="12.75">
      <c r="A7" s="25" t="s">
        <v>12</v>
      </c>
      <c r="B7" s="122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5">
        <f t="shared" si="0"/>
        <v>1997.4099999999999</v>
      </c>
      <c r="O7" s="24">
        <f>'Nov 19'!$N7+'Oct 19'!$O7</f>
        <v>38358.3</v>
      </c>
    </row>
    <row r="8" spans="1:15" ht="12.75">
      <c r="A8" s="25" t="s">
        <v>84</v>
      </c>
      <c r="B8" s="122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1775.35</v>
      </c>
      <c r="O8" s="24">
        <f>'Nov 19'!$N8+'Oct 19'!$O8</f>
        <v>20588.71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'Nov 19'!$N9+'Oct 19'!$O9</f>
        <v>13698.640000000001</v>
      </c>
    </row>
    <row r="10" spans="1:15" ht="12.75">
      <c r="A10" s="25" t="s">
        <v>14</v>
      </c>
      <c r="B10" s="122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1775.35</v>
      </c>
      <c r="O10" s="24">
        <f>'Nov 19'!$N10+'Oct 19'!$O10</f>
        <v>24345.239999999998</v>
      </c>
    </row>
    <row r="11" spans="1:15" ht="12.75">
      <c r="A11" s="22" t="s">
        <v>15</v>
      </c>
      <c r="B11" s="122">
        <v>590.1</v>
      </c>
      <c r="C11" s="13">
        <v>1330.74</v>
      </c>
      <c r="D11" s="13"/>
      <c r="E11" s="14"/>
      <c r="F11" s="13"/>
      <c r="G11" s="13"/>
      <c r="H11" s="13"/>
      <c r="I11" s="13"/>
      <c r="J11" s="13">
        <v>459.96</v>
      </c>
      <c r="K11" s="13"/>
      <c r="L11" s="13"/>
      <c r="M11" s="13"/>
      <c r="N11" s="15">
        <f t="shared" si="0"/>
        <v>2380.8</v>
      </c>
      <c r="O11" s="24">
        <f>'Nov 19'!$N11+'Oct 19'!$O11</f>
        <v>26350.149999999998</v>
      </c>
    </row>
    <row r="12" spans="1:15" ht="12.75">
      <c r="A12" s="25" t="s">
        <v>16</v>
      </c>
      <c r="B12" s="122">
        <v>746.29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2077.0299999999997</v>
      </c>
      <c r="O12" s="24">
        <f>'Nov 19'!$N12+'Oct 19'!$O12</f>
        <v>25303.269999999997</v>
      </c>
    </row>
    <row r="13" spans="1:15" ht="12.75">
      <c r="A13" s="22" t="s">
        <v>17</v>
      </c>
      <c r="B13" s="122">
        <v>749.24</v>
      </c>
      <c r="C13" s="13">
        <v>1330.74</v>
      </c>
      <c r="D13" s="13"/>
      <c r="E13" s="161">
        <f>123.17+245.36+577.02+894.07+703.02+591.46</f>
        <v>3134.1</v>
      </c>
      <c r="F13" s="13"/>
      <c r="G13" s="13"/>
      <c r="H13" s="13"/>
      <c r="I13" s="13"/>
      <c r="J13" s="13"/>
      <c r="K13" s="13"/>
      <c r="L13" s="13">
        <v>186.61</v>
      </c>
      <c r="M13" s="13"/>
      <c r="N13" s="15">
        <f t="shared" si="0"/>
        <v>5400.69</v>
      </c>
      <c r="O13" s="24">
        <f>'Nov 19'!$N13+'Oct 19'!$O13</f>
        <v>32287.07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'Nov 19'!$N14+'Oct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'Nov 19'!$N15+'Oct 19'!$O15</f>
        <v>10280.27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'Nov 19'!$N16+'Oct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'Nov 19'!$N17+'Oct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'Nov 19'!$N18+'Oct 19'!$O18</f>
        <v>12378.43</v>
      </c>
    </row>
    <row r="19" spans="1:15" ht="12.75">
      <c r="A19" s="25" t="s">
        <v>22</v>
      </c>
      <c r="B19" s="122">
        <v>551.81</v>
      </c>
      <c r="C19" s="13">
        <v>1330.74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1882.55</v>
      </c>
      <c r="O19" s="24">
        <f>'Nov 19'!$N19+'Oct 19'!$O19</f>
        <v>21475.559999999998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'Nov 19'!$N20+'Oct 19'!$O20</f>
        <v>9790.6</v>
      </c>
    </row>
    <row r="21" spans="1:15" ht="12.75">
      <c r="A21" s="25" t="s">
        <v>24</v>
      </c>
      <c r="B21" s="122">
        <v>444.61</v>
      </c>
      <c r="C21" s="13">
        <v>1330.74</v>
      </c>
      <c r="D21" s="16"/>
      <c r="E21" s="168">
        <f>500.79+235.7+604.37</f>
        <v>1340.8600000000001</v>
      </c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3616.21</v>
      </c>
      <c r="O21" s="24">
        <f>'Nov 19'!$N21+'Oct 19'!$O21</f>
        <v>28320.72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'Nov 19'!$N22+'Oct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'Nov 19'!$N23+'Oct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'Nov 19'!$N24+'Oct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'Nov 19'!$N25+'Oct 19'!$O25</f>
        <v>11102.28</v>
      </c>
    </row>
    <row r="26" spans="1:15" ht="12.75">
      <c r="A26" s="22" t="s">
        <v>29</v>
      </c>
      <c r="B26" s="122">
        <v>567.13</v>
      </c>
      <c r="C26" s="13">
        <v>1330.74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1897.87</v>
      </c>
      <c r="O26" s="24">
        <f>'Nov 19'!$N26+'Oct 19'!$O26</f>
        <v>21400.359999999997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'Nov 19'!$N27+'Oct 19'!$O27</f>
        <v>12019.580000000002</v>
      </c>
    </row>
    <row r="28" spans="1:15" ht="12.75">
      <c r="A28" s="25" t="s">
        <v>32</v>
      </c>
      <c r="B28" s="122">
        <v>459.93</v>
      </c>
      <c r="C28" s="13">
        <v>1330.74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1790.67</v>
      </c>
      <c r="O28" s="24">
        <f>'Nov 19'!$N28+'Oct 19'!$O28</f>
        <v>19635.17</v>
      </c>
    </row>
    <row r="29" spans="1:15" ht="12.75">
      <c r="A29" s="22" t="s">
        <v>33</v>
      </c>
      <c r="B29" s="122">
        <v>444.61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1775.35</v>
      </c>
      <c r="O29" s="24">
        <f>'Nov 19'!$N29+'Oct 19'!$O29</f>
        <v>19019.179999999997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20"/>
      <c r="N30" s="15">
        <f t="shared" si="0"/>
        <v>0</v>
      </c>
      <c r="O30" s="24">
        <f>'Nov 19'!$N30+'Oct 19'!$O30</f>
        <v>13200.71</v>
      </c>
    </row>
    <row r="31" spans="1:15" ht="12.75">
      <c r="A31" s="22" t="s">
        <v>35</v>
      </c>
      <c r="B31" s="122">
        <v>559.47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1890.21</v>
      </c>
      <c r="O31" s="24">
        <f>'Nov 19'!$N31+'Oct 19'!$O31</f>
        <v>21764.39</v>
      </c>
    </row>
    <row r="32" spans="1:15" ht="12.75">
      <c r="A32" s="25" t="s">
        <v>36</v>
      </c>
      <c r="B32" s="122">
        <v>444.61</v>
      </c>
      <c r="C32" s="13">
        <v>1330.74</v>
      </c>
      <c r="D32" s="16">
        <v>562.97</v>
      </c>
      <c r="E32" s="168">
        <f>489.1+251.04+472.77+594.35+501.17+542.33+349.14+286.61</f>
        <v>3486.5099999999998</v>
      </c>
      <c r="F32" s="16">
        <v>1563.37</v>
      </c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7888.2</v>
      </c>
      <c r="O32" s="24">
        <f>'Nov 19'!$N32+'Oct 19'!$O32</f>
        <v>36759.159999999996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'Nov 19'!$N33+'Oct 19'!$O33</f>
        <v>9943.810000000001</v>
      </c>
    </row>
    <row r="34" spans="1:15" ht="12.75">
      <c r="A34" s="22" t="s">
        <v>39</v>
      </c>
      <c r="B34" s="122">
        <v>659.01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2489.75</v>
      </c>
      <c r="O34" s="24">
        <f>'Nov 19'!$N34+'Oct 19'!$O34</f>
        <v>29241.4</v>
      </c>
    </row>
    <row r="35" spans="1:15" ht="12.75">
      <c r="A35" s="25" t="s">
        <v>40</v>
      </c>
      <c r="B35" s="122">
        <v>707.9</v>
      </c>
      <c r="C35" s="13">
        <v>1330.74</v>
      </c>
      <c r="D35" s="13"/>
      <c r="E35" s="161">
        <f>195.46+272.38+605.81+405.56</f>
        <v>1479.21</v>
      </c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4477.8099999999995</v>
      </c>
      <c r="O35" s="24">
        <f>'Nov 19'!$N35+'Oct 19'!$O35</f>
        <v>35984.6</v>
      </c>
    </row>
    <row r="36" spans="1:15" ht="12.75">
      <c r="A36" s="22" t="s">
        <v>41</v>
      </c>
      <c r="B36" s="122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1775.35</v>
      </c>
      <c r="O36" s="24">
        <f>'Nov 19'!$N36+'Oct 19'!$O36</f>
        <v>20847.3</v>
      </c>
    </row>
    <row r="37" spans="1:15" ht="12.75">
      <c r="A37" s="25" t="s">
        <v>42</v>
      </c>
      <c r="B37" s="122">
        <v>725.62</v>
      </c>
      <c r="C37" s="13">
        <v>1330.74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2056.36</v>
      </c>
      <c r="O37" s="24">
        <f>'Nov 19'!$N37+'Oct 19'!$O37</f>
        <v>29787.469999999998</v>
      </c>
    </row>
    <row r="38" spans="1:15" ht="12.75">
      <c r="A38" s="22" t="s">
        <v>43</v>
      </c>
      <c r="B38" s="122">
        <v>544.15</v>
      </c>
      <c r="C38" s="13">
        <v>1330.74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2334.85</v>
      </c>
      <c r="O38" s="24">
        <f>'Nov 19'!$N38+'Oct 19'!$O38</f>
        <v>24160.349999999995</v>
      </c>
    </row>
    <row r="39" spans="1:15" ht="12.75">
      <c r="A39" s="25" t="s">
        <v>44</v>
      </c>
      <c r="B39" s="122">
        <v>528.84</v>
      </c>
      <c r="C39" s="13">
        <v>1330.74</v>
      </c>
      <c r="D39" s="101"/>
      <c r="E39" s="72">
        <f>636.11+395.77+333.73</f>
        <v>1365.6100000000001</v>
      </c>
      <c r="F39" s="105"/>
      <c r="G39" s="73">
        <v>2299.8</v>
      </c>
      <c r="H39" s="73"/>
      <c r="I39" s="73"/>
      <c r="J39" s="73"/>
      <c r="K39" s="73"/>
      <c r="L39" s="73"/>
      <c r="M39" s="73"/>
      <c r="N39" s="15">
        <f t="shared" si="0"/>
        <v>5524.99</v>
      </c>
      <c r="O39" s="24">
        <f>'Nov 19'!$N39+'Oct 19'!$O39</f>
        <v>46341.23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'Nov 19'!$N40+'Oct 19'!$O40</f>
        <v>9847.25</v>
      </c>
    </row>
    <row r="41" spans="1:15" ht="12.75">
      <c r="A41" s="87" t="s">
        <v>46</v>
      </c>
      <c r="B41" s="122">
        <v>459.93</v>
      </c>
      <c r="C41" s="13">
        <v>1330.74</v>
      </c>
      <c r="D41" s="73"/>
      <c r="E41" s="122">
        <f>400.18+701.04+514.08+307</f>
        <v>1922.3000000000002</v>
      </c>
      <c r="F41" s="73"/>
      <c r="G41" s="73"/>
      <c r="H41" s="73"/>
      <c r="I41" s="73"/>
      <c r="J41" s="73"/>
      <c r="K41" s="122"/>
      <c r="L41" s="73"/>
      <c r="M41" s="73"/>
      <c r="N41" s="15">
        <f t="shared" si="0"/>
        <v>3712.9700000000003</v>
      </c>
      <c r="O41" s="24">
        <f>'Nov 19'!$N41+'Oct 19'!$O41</f>
        <v>24259.47</v>
      </c>
    </row>
    <row r="42" spans="1:15" ht="13.5" thickBot="1">
      <c r="A42" s="102" t="s">
        <v>91</v>
      </c>
      <c r="B42" s="123">
        <v>643.69</v>
      </c>
      <c r="C42" s="13">
        <v>1330.74</v>
      </c>
      <c r="D42" s="100"/>
      <c r="E42" s="159">
        <f>403.57+514.62+512.49+116.94</f>
        <v>1547.6200000000001</v>
      </c>
      <c r="F42" s="100">
        <v>1913.74</v>
      </c>
      <c r="G42" s="100"/>
      <c r="H42" s="100">
        <v>459.96</v>
      </c>
      <c r="I42" s="100"/>
      <c r="J42" s="100"/>
      <c r="K42" s="100"/>
      <c r="L42" s="100"/>
      <c r="M42" s="100"/>
      <c r="N42" s="15">
        <f t="shared" si="0"/>
        <v>5895.75</v>
      </c>
      <c r="O42" s="24">
        <f>'Nov 19'!$N42+'Oct 19'!$O42</f>
        <v>37892.45</v>
      </c>
    </row>
    <row r="43" spans="1:15" ht="14.25" thickBot="1" thickTop="1">
      <c r="A43" s="178" t="s">
        <v>130</v>
      </c>
      <c r="B43" s="123">
        <v>0</v>
      </c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5">
        <f t="shared" si="0"/>
        <v>0</v>
      </c>
      <c r="O43" s="24">
        <f>'Nov 19'!$N43+'Oct 19'!$O43</f>
        <v>0</v>
      </c>
    </row>
    <row r="44" spans="1:15" ht="14.2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5">
        <f t="shared" si="0"/>
        <v>1775.35</v>
      </c>
      <c r="O44" s="24">
        <f>'Nov 19'!$N44+'Oct 19'!$O44</f>
        <v>10894.890000000001</v>
      </c>
    </row>
    <row r="45" spans="1:15" ht="14.25" thickBot="1" thickTop="1">
      <c r="A45" s="175" t="s">
        <v>114</v>
      </c>
      <c r="B45" s="123">
        <v>467.59</v>
      </c>
      <c r="C45" s="13">
        <v>1330.74</v>
      </c>
      <c r="D45" s="158"/>
      <c r="E45" s="100">
        <f>137.42+421.13+97.26+308.57+330.36+182.62</f>
        <v>1477.3599999999997</v>
      </c>
      <c r="F45" s="159"/>
      <c r="G45" s="100"/>
      <c r="H45" s="100"/>
      <c r="I45" s="100"/>
      <c r="J45" s="157"/>
      <c r="K45" s="100"/>
      <c r="L45" s="100"/>
      <c r="M45" s="100"/>
      <c r="N45" s="15">
        <f t="shared" si="0"/>
        <v>3275.6899999999996</v>
      </c>
      <c r="O45" s="24">
        <f>'Nov 19'!$N45+'Oct 19'!$O45</f>
        <v>12510.130000000001</v>
      </c>
    </row>
    <row r="46" spans="1:15" ht="14.2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5">
        <f t="shared" si="0"/>
        <v>1920.8400000000001</v>
      </c>
      <c r="O46" s="24">
        <f>'Nov 19'!$N46+'Oct 19'!$O46</f>
        <v>11917.83</v>
      </c>
    </row>
    <row r="47" spans="1:15" ht="14.2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5">
        <f t="shared" si="0"/>
        <v>1783.01</v>
      </c>
      <c r="O47" s="24">
        <f>'Nov 19'!$N47+'Oct 19'!$O47</f>
        <v>10940.85</v>
      </c>
    </row>
    <row r="48" spans="1:15" ht="14.2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5">
        <f t="shared" si="0"/>
        <v>1775.35</v>
      </c>
      <c r="O48" s="24">
        <f>'Nov 19'!$N48+'Oct 19'!$O48</f>
        <v>10894.890000000001</v>
      </c>
    </row>
    <row r="49" spans="1:15" ht="14.25" thickBot="1" thickTop="1">
      <c r="A49" s="175" t="s">
        <v>118</v>
      </c>
      <c r="B49" s="123">
        <v>444.61</v>
      </c>
      <c r="C49" s="13">
        <v>1330.74</v>
      </c>
      <c r="D49" s="158"/>
      <c r="E49" s="159"/>
      <c r="F49" s="159">
        <v>2975.07</v>
      </c>
      <c r="G49" s="100"/>
      <c r="H49" s="100"/>
      <c r="I49" s="100"/>
      <c r="J49" s="157"/>
      <c r="K49" s="100"/>
      <c r="L49" s="100"/>
      <c r="M49" s="100"/>
      <c r="N49" s="15">
        <f t="shared" si="0"/>
        <v>4750.42</v>
      </c>
      <c r="O49" s="24">
        <f>'Nov 19'!$N49+'Oct 19'!$O49</f>
        <v>13955.66</v>
      </c>
    </row>
    <row r="50" spans="1:15" ht="14.25" thickBot="1" thickTop="1">
      <c r="A50" s="175" t="s">
        <v>119</v>
      </c>
      <c r="B50" s="123">
        <v>444.61</v>
      </c>
      <c r="C50" s="13">
        <v>1330.74</v>
      </c>
      <c r="D50" s="158"/>
      <c r="E50" s="159">
        <v>539.92</v>
      </c>
      <c r="F50" s="159"/>
      <c r="G50" s="100"/>
      <c r="H50" s="100"/>
      <c r="I50" s="100"/>
      <c r="J50" s="157"/>
      <c r="K50" s="100"/>
      <c r="L50" s="100"/>
      <c r="M50" s="100"/>
      <c r="N50" s="15">
        <f t="shared" si="0"/>
        <v>2315.27</v>
      </c>
      <c r="O50" s="24">
        <f>'Nov 19'!$N50+'Oct 19'!$O50</f>
        <v>11538.78</v>
      </c>
    </row>
    <row r="51" spans="1:15" ht="14.25" thickBot="1" thickTop="1">
      <c r="A51" s="175" t="s">
        <v>120</v>
      </c>
      <c r="B51" s="123">
        <v>444.61</v>
      </c>
      <c r="C51" s="13">
        <v>1330.74</v>
      </c>
      <c r="D51" s="158"/>
      <c r="E51" s="159">
        <f>349.74+75.15</f>
        <v>424.89</v>
      </c>
      <c r="F51" s="159"/>
      <c r="G51" s="100"/>
      <c r="H51" s="100"/>
      <c r="I51" s="100"/>
      <c r="J51" s="157"/>
      <c r="K51" s="100"/>
      <c r="L51" s="100"/>
      <c r="M51" s="100"/>
      <c r="N51" s="15">
        <f t="shared" si="0"/>
        <v>2200.24</v>
      </c>
      <c r="O51" s="24">
        <f>'Nov 19'!$N51+'Oct 19'!$O51</f>
        <v>11319.78</v>
      </c>
    </row>
    <row r="52" spans="1:15" ht="14.25" thickBot="1" thickTop="1">
      <c r="A52" s="175" t="s">
        <v>121</v>
      </c>
      <c r="B52" s="123">
        <v>444.61</v>
      </c>
      <c r="C52" s="13">
        <v>1330.74</v>
      </c>
      <c r="D52" s="158"/>
      <c r="E52" s="100"/>
      <c r="F52" s="159"/>
      <c r="G52" s="100"/>
      <c r="H52" s="100"/>
      <c r="I52" s="100"/>
      <c r="J52" s="157"/>
      <c r="K52" s="100"/>
      <c r="L52" s="100"/>
      <c r="M52" s="157">
        <v>500</v>
      </c>
      <c r="N52" s="15">
        <f t="shared" si="0"/>
        <v>2275.35</v>
      </c>
      <c r="O52" s="24">
        <f>'Nov 19'!$N52+'Oct 19'!$O52</f>
        <v>14797.13</v>
      </c>
    </row>
    <row r="53" spans="1:15" ht="14.2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/>
      <c r="M53" s="100"/>
      <c r="N53" s="15">
        <f t="shared" si="0"/>
        <v>1775.35</v>
      </c>
      <c r="O53" s="24">
        <f>'Nov 19'!$N53+'Oct 19'!$O53</f>
        <v>10894.890000000001</v>
      </c>
    </row>
    <row r="54" spans="1:15" ht="14.25" thickBot="1" thickTop="1">
      <c r="A54" s="175" t="s">
        <v>123</v>
      </c>
      <c r="B54" s="123">
        <v>444.61</v>
      </c>
      <c r="C54" s="13">
        <v>1330.74</v>
      </c>
      <c r="D54" s="158"/>
      <c r="E54" s="100">
        <v>408.48</v>
      </c>
      <c r="F54" s="159"/>
      <c r="G54" s="100"/>
      <c r="H54" s="100"/>
      <c r="I54" s="100"/>
      <c r="J54" s="157"/>
      <c r="K54" s="100"/>
      <c r="L54" s="100"/>
      <c r="M54" s="100"/>
      <c r="N54" s="15">
        <f t="shared" si="0"/>
        <v>2183.83</v>
      </c>
      <c r="O54" s="24">
        <f>'Nov 19'!$N54+'Oct 19'!$O54</f>
        <v>11303.37</v>
      </c>
    </row>
    <row r="55" spans="1:15" ht="14.25" thickBot="1" thickTop="1">
      <c r="A55" s="175" t="s">
        <v>124</v>
      </c>
      <c r="B55" s="123">
        <v>444.61</v>
      </c>
      <c r="C55" s="13">
        <v>1330.74</v>
      </c>
      <c r="D55" s="183">
        <v>349.74</v>
      </c>
      <c r="E55" s="100">
        <v>222.22</v>
      </c>
      <c r="F55" s="159"/>
      <c r="G55" s="100"/>
      <c r="H55" s="100"/>
      <c r="I55" s="100"/>
      <c r="J55" s="157"/>
      <c r="K55" s="100"/>
      <c r="L55" s="100"/>
      <c r="M55" s="100"/>
      <c r="N55" s="15">
        <f t="shared" si="0"/>
        <v>2347.31</v>
      </c>
      <c r="O55" s="24">
        <f>'Nov 19'!$N55+'Oct 19'!$O55</f>
        <v>11466.85</v>
      </c>
    </row>
    <row r="56" spans="1:15" ht="14.25" thickBot="1" thickTop="1">
      <c r="A56" s="175" t="s">
        <v>125</v>
      </c>
      <c r="B56" s="123">
        <v>666.67</v>
      </c>
      <c r="C56" s="13">
        <v>1330.74</v>
      </c>
      <c r="D56" s="158"/>
      <c r="E56" s="100">
        <v>110.18</v>
      </c>
      <c r="F56" s="159"/>
      <c r="G56" s="100"/>
      <c r="H56" s="100"/>
      <c r="I56" s="100"/>
      <c r="J56" s="157"/>
      <c r="K56" s="100"/>
      <c r="L56" s="100"/>
      <c r="M56" s="100"/>
      <c r="N56" s="15">
        <f t="shared" si="0"/>
        <v>2107.5899999999997</v>
      </c>
      <c r="O56" s="24">
        <f>'Nov 19'!$N56+'Oct 19'!$O56</f>
        <v>12337.43</v>
      </c>
    </row>
    <row r="57" spans="1:15" ht="14.25" thickBot="1" thickTop="1">
      <c r="A57" s="175" t="s">
        <v>126</v>
      </c>
      <c r="B57" s="123">
        <v>482.9</v>
      </c>
      <c r="C57" s="13">
        <v>1330.74</v>
      </c>
      <c r="D57" s="158"/>
      <c r="E57" s="100"/>
      <c r="F57" s="159"/>
      <c r="G57" s="100"/>
      <c r="H57" s="100"/>
      <c r="I57" s="100"/>
      <c r="J57" s="157"/>
      <c r="K57" s="100"/>
      <c r="L57" s="100"/>
      <c r="M57" s="100"/>
      <c r="N57" s="15">
        <f t="shared" si="0"/>
        <v>1813.6399999999999</v>
      </c>
      <c r="O57" s="24">
        <f>'Nov 19'!$N57+'Oct 19'!$O57</f>
        <v>11189.189999999999</v>
      </c>
    </row>
    <row r="58" spans="1:15" ht="14.25" thickBot="1" thickTop="1">
      <c r="A58" s="175" t="s">
        <v>127</v>
      </c>
      <c r="B58" s="123">
        <v>444.61</v>
      </c>
      <c r="C58" s="13">
        <v>1330.74</v>
      </c>
      <c r="D58" s="158">
        <v>349.74</v>
      </c>
      <c r="E58" s="100">
        <v>229.23</v>
      </c>
      <c r="F58" s="159"/>
      <c r="G58" s="100"/>
      <c r="H58" s="100"/>
      <c r="I58" s="100"/>
      <c r="J58" s="157"/>
      <c r="K58" s="100"/>
      <c r="L58" s="100"/>
      <c r="M58" s="100"/>
      <c r="N58" s="15">
        <f t="shared" si="0"/>
        <v>2354.32</v>
      </c>
      <c r="O58" s="24">
        <f>'Nov 19'!$N58+'Oct 19'!$O58</f>
        <v>11473.86</v>
      </c>
    </row>
    <row r="59" spans="1:15" ht="14.2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>
        <v>150</v>
      </c>
      <c r="L59" s="100"/>
      <c r="M59" s="100"/>
      <c r="N59" s="15">
        <f t="shared" si="0"/>
        <v>1925.35</v>
      </c>
      <c r="O59" s="24">
        <f>'Nov 19'!$N59+'Oct 19'!$O59</f>
        <v>11044.890000000001</v>
      </c>
    </row>
    <row r="60" spans="1:15" ht="14.2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>
        <v>100</v>
      </c>
      <c r="M60" s="100"/>
      <c r="N60" s="15">
        <f t="shared" si="0"/>
        <v>1875.35</v>
      </c>
      <c r="O60" s="24">
        <f>'Nov 19'!$N60+'Oct 19'!$O60</f>
        <v>10994.890000000001</v>
      </c>
    </row>
    <row r="61" spans="1:15" ht="14.25" thickBot="1" thickTop="1">
      <c r="A61" s="81"/>
      <c r="B61" s="96">
        <f aca="true" t="shared" si="1" ref="B61:O61">SUM(B3:B60)</f>
        <v>20711.510000000006</v>
      </c>
      <c r="C61" s="96">
        <f t="shared" si="1"/>
        <v>53229.599999999984</v>
      </c>
      <c r="D61" s="96">
        <f t="shared" si="1"/>
        <v>1262.45</v>
      </c>
      <c r="E61" s="96">
        <f t="shared" si="1"/>
        <v>19382.89</v>
      </c>
      <c r="F61" s="96">
        <f t="shared" si="1"/>
        <v>6452.18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375</v>
      </c>
      <c r="L61" s="96">
        <f t="shared" si="1"/>
        <v>441.87</v>
      </c>
      <c r="M61" s="96">
        <f t="shared" si="1"/>
        <v>2500</v>
      </c>
      <c r="N61" s="15">
        <f t="shared" si="1"/>
        <v>109875.02000000002</v>
      </c>
      <c r="O61" s="96">
        <f t="shared" si="1"/>
        <v>1062374.9999999998</v>
      </c>
    </row>
    <row r="62" ht="13.5" thickTop="1"/>
  </sheetData>
  <sheetProtection password="F2A9" sheet="1"/>
  <mergeCells count="1">
    <mergeCell ref="A1:N1"/>
  </mergeCells>
  <printOptions gridLines="1" headings="1"/>
  <pageMargins left="0.7086614173228347" right="0.7086614173228347" top="0.35433070866141736" bottom="0.35433070866141736" header="0.31496062992125984" footer="0.5118110236220472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46">
      <pane xSplit="1" topLeftCell="B1" activePane="topRight" state="frozen"/>
      <selection pane="topLeft" activeCell="A13" sqref="A13"/>
      <selection pane="topRight" activeCell="O61" sqref="O61"/>
    </sheetView>
  </sheetViews>
  <sheetFormatPr defaultColWidth="12.7109375" defaultRowHeight="12.75"/>
  <cols>
    <col min="1" max="1" width="18.8515625" style="0" bestFit="1" customWidth="1"/>
    <col min="2" max="2" width="15.421875" style="0" customWidth="1"/>
    <col min="3" max="3" width="16.7109375" style="0" customWidth="1"/>
    <col min="4" max="4" width="12.8515625" style="0" customWidth="1"/>
    <col min="5" max="5" width="13.57421875" style="0" customWidth="1"/>
    <col min="6" max="6" width="12.140625" style="0" customWidth="1"/>
    <col min="7" max="7" width="15.8515625" style="0" customWidth="1"/>
    <col min="8" max="8" width="15.00390625" style="0" customWidth="1"/>
    <col min="9" max="9" width="12.7109375" style="0" customWidth="1"/>
    <col min="10" max="10" width="12.140625" style="0" customWidth="1"/>
    <col min="11" max="11" width="11.7109375" style="0" customWidth="1"/>
    <col min="12" max="12" width="12.00390625" style="0" customWidth="1"/>
    <col min="13" max="13" width="13.421875" style="0" customWidth="1"/>
    <col min="14" max="14" width="14.8515625" style="0" customWidth="1"/>
    <col min="15" max="15" width="18.421875" style="0" customWidth="1"/>
  </cols>
  <sheetData>
    <row r="1" spans="1:14" ht="32.25" customHeight="1">
      <c r="A1" s="186" t="s">
        <v>101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57.75" customHeight="1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99</v>
      </c>
      <c r="P2" s="1"/>
      <c r="Q2" s="1"/>
    </row>
    <row r="3" spans="1:15" s="133" customFormat="1" ht="17.25" customHeight="1">
      <c r="A3" s="128" t="s">
        <v>7</v>
      </c>
      <c r="B3" s="122">
        <v>0</v>
      </c>
      <c r="C3" s="13">
        <v>0</v>
      </c>
      <c r="D3" s="129"/>
      <c r="E3" s="130"/>
      <c r="F3" s="129"/>
      <c r="G3" s="129"/>
      <c r="H3" s="129"/>
      <c r="I3" s="129"/>
      <c r="J3" s="129"/>
      <c r="K3" s="129"/>
      <c r="L3" s="129"/>
      <c r="M3" s="129"/>
      <c r="N3" s="131">
        <f aca="true" t="shared" si="0" ref="N3:N60">SUM(B3:M3)</f>
        <v>0</v>
      </c>
      <c r="O3" s="132">
        <f>'Dec 19'!$N3+'Nov 19'!$O3</f>
        <v>15371.41</v>
      </c>
    </row>
    <row r="4" spans="1:15" s="133" customFormat="1" ht="17.25" customHeight="1">
      <c r="A4" s="134" t="s">
        <v>8</v>
      </c>
      <c r="B4" s="122">
        <v>444.61</v>
      </c>
      <c r="C4" s="13">
        <v>1330.74</v>
      </c>
      <c r="D4" s="135"/>
      <c r="E4" s="184">
        <v>355.68</v>
      </c>
      <c r="F4" s="135"/>
      <c r="G4" s="135"/>
      <c r="H4" s="135"/>
      <c r="I4" s="135"/>
      <c r="J4" s="135"/>
      <c r="K4" s="135"/>
      <c r="L4" s="135"/>
      <c r="M4" s="135"/>
      <c r="N4" s="131">
        <f t="shared" si="0"/>
        <v>2131.0299999999997</v>
      </c>
      <c r="O4" s="132">
        <f>'Dec 19'!$N4+'Nov 19'!$O4</f>
        <v>38193.93</v>
      </c>
    </row>
    <row r="5" spans="1:15" s="133" customFormat="1" ht="17.25" customHeight="1">
      <c r="A5" s="134" t="s">
        <v>100</v>
      </c>
      <c r="B5" s="122">
        <v>0</v>
      </c>
      <c r="C5" s="13">
        <v>0</v>
      </c>
      <c r="D5" s="135"/>
      <c r="E5" s="136"/>
      <c r="F5" s="135"/>
      <c r="G5" s="135"/>
      <c r="H5" s="135"/>
      <c r="I5" s="135"/>
      <c r="J5" s="135"/>
      <c r="K5" s="135"/>
      <c r="L5" s="135"/>
      <c r="M5" s="135"/>
      <c r="N5" s="131">
        <f t="shared" si="0"/>
        <v>0</v>
      </c>
      <c r="O5" s="132">
        <f>'Dec 19'!$N5+'Nov 19'!$O5</f>
        <v>10559.86</v>
      </c>
    </row>
    <row r="6" spans="1:15" s="133" customFormat="1" ht="17.25" customHeight="1">
      <c r="A6" s="128" t="s">
        <v>11</v>
      </c>
      <c r="B6" s="122">
        <v>444.61</v>
      </c>
      <c r="C6" s="13">
        <v>1330.74</v>
      </c>
      <c r="D6" s="129">
        <v>699.93</v>
      </c>
      <c r="E6" s="130"/>
      <c r="F6" s="129"/>
      <c r="G6" s="129"/>
      <c r="H6" s="129"/>
      <c r="I6" s="129">
        <v>1379.88</v>
      </c>
      <c r="J6" s="129"/>
      <c r="K6" s="129"/>
      <c r="L6" s="129"/>
      <c r="M6" s="129"/>
      <c r="N6" s="131">
        <f t="shared" si="0"/>
        <v>3855.16</v>
      </c>
      <c r="O6" s="132">
        <f>'Dec 19'!$N6+'Nov 19'!$O6</f>
        <v>52362.07000000001</v>
      </c>
    </row>
    <row r="7" spans="1:15" s="133" customFormat="1" ht="17.25" customHeight="1">
      <c r="A7" s="134" t="s">
        <v>12</v>
      </c>
      <c r="B7" s="122">
        <v>666.67</v>
      </c>
      <c r="C7" s="13">
        <v>1330.74</v>
      </c>
      <c r="D7" s="135"/>
      <c r="E7" s="136"/>
      <c r="F7" s="135"/>
      <c r="G7" s="135"/>
      <c r="H7" s="135"/>
      <c r="I7" s="135"/>
      <c r="J7" s="135"/>
      <c r="K7" s="135"/>
      <c r="L7" s="135"/>
      <c r="M7" s="135"/>
      <c r="N7" s="131">
        <f t="shared" si="0"/>
        <v>1997.4099999999999</v>
      </c>
      <c r="O7" s="132">
        <f>'Dec 19'!$N7+'Nov 19'!$O7</f>
        <v>40355.71000000001</v>
      </c>
    </row>
    <row r="8" spans="1:15" s="133" customFormat="1" ht="17.25" customHeight="1">
      <c r="A8" s="134" t="s">
        <v>84</v>
      </c>
      <c r="B8" s="122">
        <v>444.61</v>
      </c>
      <c r="C8" s="13">
        <v>1330.74</v>
      </c>
      <c r="D8" s="129"/>
      <c r="E8" s="130"/>
      <c r="F8" s="129"/>
      <c r="G8" s="129"/>
      <c r="H8" s="129"/>
      <c r="I8" s="129"/>
      <c r="J8" s="129"/>
      <c r="K8" s="129"/>
      <c r="L8" s="129"/>
      <c r="M8" s="129"/>
      <c r="N8" s="131">
        <f t="shared" si="0"/>
        <v>1775.35</v>
      </c>
      <c r="O8" s="132">
        <f>'Dec 19'!$N8+'Nov 19'!$O8</f>
        <v>22364.059999999998</v>
      </c>
    </row>
    <row r="9" spans="1:15" s="133" customFormat="1" ht="17.25" customHeight="1">
      <c r="A9" s="128" t="s">
        <v>83</v>
      </c>
      <c r="B9" s="122">
        <v>0</v>
      </c>
      <c r="C9" s="13">
        <v>0</v>
      </c>
      <c r="D9" s="129"/>
      <c r="E9" s="130"/>
      <c r="F9" s="129"/>
      <c r="G9" s="129"/>
      <c r="H9" s="129"/>
      <c r="I9" s="129"/>
      <c r="J9" s="129"/>
      <c r="K9" s="129"/>
      <c r="L9" s="129"/>
      <c r="M9" s="129"/>
      <c r="N9" s="131">
        <f t="shared" si="0"/>
        <v>0</v>
      </c>
      <c r="O9" s="132">
        <f>'Dec 19'!$N9+'Nov 19'!$O9</f>
        <v>13698.640000000001</v>
      </c>
    </row>
    <row r="10" spans="1:15" s="133" customFormat="1" ht="17.25" customHeight="1">
      <c r="A10" s="134" t="s">
        <v>14</v>
      </c>
      <c r="B10" s="122">
        <v>444.61</v>
      </c>
      <c r="C10" s="13">
        <v>1330.74</v>
      </c>
      <c r="D10" s="135"/>
      <c r="E10" s="136"/>
      <c r="F10" s="135"/>
      <c r="G10" s="135"/>
      <c r="H10" s="135"/>
      <c r="I10" s="135"/>
      <c r="J10" s="135"/>
      <c r="K10" s="135"/>
      <c r="L10" s="135"/>
      <c r="M10" s="135"/>
      <c r="N10" s="131">
        <f t="shared" si="0"/>
        <v>1775.35</v>
      </c>
      <c r="O10" s="132">
        <f>'Dec 19'!$N10+'Nov 19'!$O10</f>
        <v>26120.589999999997</v>
      </c>
    </row>
    <row r="11" spans="1:15" s="133" customFormat="1" ht="17.25" customHeight="1">
      <c r="A11" s="128" t="s">
        <v>15</v>
      </c>
      <c r="B11" s="122">
        <v>590.1</v>
      </c>
      <c r="C11" s="13">
        <v>1330.74</v>
      </c>
      <c r="D11" s="129"/>
      <c r="E11" s="185">
        <f>639.45+535.84</f>
        <v>1175.29</v>
      </c>
      <c r="F11" s="129"/>
      <c r="G11" s="129"/>
      <c r="H11" s="129"/>
      <c r="I11" s="129"/>
      <c r="J11" s="129">
        <v>459.96</v>
      </c>
      <c r="K11" s="129"/>
      <c r="L11" s="129"/>
      <c r="M11" s="129"/>
      <c r="N11" s="131">
        <f t="shared" si="0"/>
        <v>3556.09</v>
      </c>
      <c r="O11" s="132">
        <f>'Dec 19'!$N11+'Nov 19'!$O11</f>
        <v>29906.239999999998</v>
      </c>
    </row>
    <row r="12" spans="1:15" s="133" customFormat="1" ht="17.25" customHeight="1">
      <c r="A12" s="134" t="s">
        <v>16</v>
      </c>
      <c r="B12" s="122">
        <v>746.29</v>
      </c>
      <c r="C12" s="13">
        <v>1330.74</v>
      </c>
      <c r="D12" s="135"/>
      <c r="E12" s="184">
        <f>682.35+407.74+561.6+370.8</f>
        <v>2022.49</v>
      </c>
      <c r="F12" s="135"/>
      <c r="G12" s="135"/>
      <c r="H12" s="135"/>
      <c r="I12" s="135"/>
      <c r="J12" s="135"/>
      <c r="K12" s="135"/>
      <c r="L12" s="135"/>
      <c r="M12" s="135"/>
      <c r="N12" s="131">
        <f t="shared" si="0"/>
        <v>4099.5199999999995</v>
      </c>
      <c r="O12" s="132">
        <f>'Dec 19'!$N12+'Nov 19'!$O12</f>
        <v>29402.789999999997</v>
      </c>
    </row>
    <row r="13" spans="1:15" s="133" customFormat="1" ht="17.25" customHeight="1">
      <c r="A13" s="128" t="s">
        <v>17</v>
      </c>
      <c r="B13" s="122">
        <v>749.24</v>
      </c>
      <c r="C13" s="13">
        <v>1330.74</v>
      </c>
      <c r="D13" s="129"/>
      <c r="E13" s="185">
        <f>434.34+313.69</f>
        <v>748.03</v>
      </c>
      <c r="F13" s="129"/>
      <c r="G13" s="129"/>
      <c r="H13" s="129"/>
      <c r="I13" s="129"/>
      <c r="J13" s="129"/>
      <c r="K13" s="129"/>
      <c r="L13" s="129"/>
      <c r="M13" s="129"/>
      <c r="N13" s="131">
        <f t="shared" si="0"/>
        <v>2828.01</v>
      </c>
      <c r="O13" s="132">
        <f>'Dec 19'!$N13+'Nov 19'!$O13</f>
        <v>35115.08</v>
      </c>
    </row>
    <row r="14" spans="1:15" s="133" customFormat="1" ht="17.25" customHeight="1">
      <c r="A14" s="134" t="s">
        <v>18</v>
      </c>
      <c r="B14" s="122">
        <v>0</v>
      </c>
      <c r="C14" s="13">
        <v>0</v>
      </c>
      <c r="D14" s="135"/>
      <c r="E14" s="136"/>
      <c r="F14" s="135"/>
      <c r="G14" s="135"/>
      <c r="H14" s="135"/>
      <c r="I14" s="135"/>
      <c r="J14" s="135"/>
      <c r="K14" s="135"/>
      <c r="L14" s="135"/>
      <c r="M14" s="135"/>
      <c r="N14" s="131">
        <f t="shared" si="0"/>
        <v>0</v>
      </c>
      <c r="O14" s="132">
        <f>'Dec 19'!$N14+'Nov 19'!$O14</f>
        <v>14391.010000000002</v>
      </c>
    </row>
    <row r="15" spans="1:15" s="133" customFormat="1" ht="17.25" customHeight="1">
      <c r="A15" s="128" t="s">
        <v>19</v>
      </c>
      <c r="B15" s="122">
        <v>0</v>
      </c>
      <c r="C15" s="13">
        <v>0</v>
      </c>
      <c r="D15" s="129"/>
      <c r="E15" s="130"/>
      <c r="F15" s="129"/>
      <c r="G15" s="129"/>
      <c r="H15" s="129"/>
      <c r="I15" s="129"/>
      <c r="J15" s="129"/>
      <c r="K15" s="129"/>
      <c r="L15" s="129"/>
      <c r="M15" s="129"/>
      <c r="N15" s="131">
        <f t="shared" si="0"/>
        <v>0</v>
      </c>
      <c r="O15" s="132">
        <f>'Dec 19'!$N15+'Nov 19'!$O15</f>
        <v>10280.27</v>
      </c>
    </row>
    <row r="16" spans="1:15" s="133" customFormat="1" ht="17.25" customHeight="1">
      <c r="A16" s="128" t="s">
        <v>93</v>
      </c>
      <c r="B16" s="122">
        <v>0</v>
      </c>
      <c r="C16" s="13">
        <v>0</v>
      </c>
      <c r="D16" s="129"/>
      <c r="E16" s="130"/>
      <c r="F16" s="129"/>
      <c r="G16" s="129"/>
      <c r="H16" s="129"/>
      <c r="I16" s="129"/>
      <c r="J16" s="129"/>
      <c r="K16" s="129"/>
      <c r="L16" s="129"/>
      <c r="M16" s="129"/>
      <c r="N16" s="131">
        <f t="shared" si="0"/>
        <v>0</v>
      </c>
      <c r="O16" s="132">
        <f>'Dec 19'!$N16+'Nov 19'!$O16</f>
        <v>10293.810000000001</v>
      </c>
    </row>
    <row r="17" spans="1:15" s="133" customFormat="1" ht="17.25" customHeight="1">
      <c r="A17" s="134" t="s">
        <v>20</v>
      </c>
      <c r="B17" s="122">
        <v>0</v>
      </c>
      <c r="C17" s="13">
        <v>0</v>
      </c>
      <c r="D17" s="135"/>
      <c r="E17" s="136"/>
      <c r="F17" s="135"/>
      <c r="G17" s="135"/>
      <c r="H17" s="135"/>
      <c r="I17" s="135"/>
      <c r="J17" s="135"/>
      <c r="K17" s="135"/>
      <c r="L17" s="135"/>
      <c r="M17" s="135"/>
      <c r="N17" s="131">
        <f t="shared" si="0"/>
        <v>0</v>
      </c>
      <c r="O17" s="132">
        <f>'Dec 19'!$N17+'Nov 19'!$O17</f>
        <v>10282.48</v>
      </c>
    </row>
    <row r="18" spans="1:15" s="133" customFormat="1" ht="17.25" customHeight="1">
      <c r="A18" s="128" t="s">
        <v>21</v>
      </c>
      <c r="B18" s="122">
        <v>0</v>
      </c>
      <c r="C18" s="13">
        <v>0</v>
      </c>
      <c r="D18" s="129"/>
      <c r="E18" s="130"/>
      <c r="F18" s="129"/>
      <c r="G18" s="129"/>
      <c r="H18" s="129"/>
      <c r="I18" s="129"/>
      <c r="J18" s="129"/>
      <c r="K18" s="129"/>
      <c r="L18" s="129"/>
      <c r="M18" s="129"/>
      <c r="N18" s="131">
        <f t="shared" si="0"/>
        <v>0</v>
      </c>
      <c r="O18" s="132">
        <f>'Dec 19'!$N18+'Nov 19'!$O18</f>
        <v>12378.43</v>
      </c>
    </row>
    <row r="19" spans="1:15" s="133" customFormat="1" ht="17.25" customHeight="1">
      <c r="A19" s="134" t="s">
        <v>22</v>
      </c>
      <c r="B19" s="122">
        <v>551.81</v>
      </c>
      <c r="C19" s="13">
        <v>1330.74</v>
      </c>
      <c r="D19" s="135"/>
      <c r="E19" s="136"/>
      <c r="F19" s="135"/>
      <c r="G19" s="135"/>
      <c r="H19" s="135"/>
      <c r="I19" s="135"/>
      <c r="J19" s="135"/>
      <c r="K19" s="135"/>
      <c r="L19" s="135"/>
      <c r="M19" s="135"/>
      <c r="N19" s="131">
        <f t="shared" si="0"/>
        <v>1882.55</v>
      </c>
      <c r="O19" s="132">
        <f>'Dec 19'!$N19+'Nov 19'!$O19</f>
        <v>23358.109999999997</v>
      </c>
    </row>
    <row r="20" spans="1:15" s="133" customFormat="1" ht="17.25" customHeight="1">
      <c r="A20" s="128" t="s">
        <v>23</v>
      </c>
      <c r="B20" s="122">
        <v>0</v>
      </c>
      <c r="C20" s="13">
        <v>0</v>
      </c>
      <c r="D20" s="129"/>
      <c r="E20" s="130"/>
      <c r="F20" s="129"/>
      <c r="G20" s="129"/>
      <c r="H20" s="129"/>
      <c r="I20" s="129"/>
      <c r="J20" s="129"/>
      <c r="K20" s="129"/>
      <c r="L20" s="129"/>
      <c r="M20" s="129"/>
      <c r="N20" s="131">
        <f t="shared" si="0"/>
        <v>0</v>
      </c>
      <c r="O20" s="132">
        <f>'Dec 19'!$N20+'Nov 19'!$O20</f>
        <v>9790.6</v>
      </c>
    </row>
    <row r="21" spans="1:15" s="133" customFormat="1" ht="17.25" customHeight="1">
      <c r="A21" s="134" t="s">
        <v>24</v>
      </c>
      <c r="B21" s="122">
        <v>444.61</v>
      </c>
      <c r="C21" s="13">
        <v>1330.74</v>
      </c>
      <c r="D21" s="135"/>
      <c r="E21" s="184">
        <f>467.38+310.34</f>
        <v>777.72</v>
      </c>
      <c r="F21" s="135"/>
      <c r="G21" s="135"/>
      <c r="H21" s="135"/>
      <c r="I21" s="135"/>
      <c r="J21" s="135"/>
      <c r="K21" s="135"/>
      <c r="L21" s="135"/>
      <c r="M21" s="135">
        <v>500</v>
      </c>
      <c r="N21" s="131">
        <f t="shared" si="0"/>
        <v>3053.0699999999997</v>
      </c>
      <c r="O21" s="132">
        <f>'Dec 19'!$N21+'Nov 19'!$O21</f>
        <v>31373.79</v>
      </c>
    </row>
    <row r="22" spans="1:15" s="133" customFormat="1" ht="17.25" customHeight="1">
      <c r="A22" s="128" t="s">
        <v>25</v>
      </c>
      <c r="B22" s="122">
        <v>0</v>
      </c>
      <c r="C22" s="13">
        <v>0</v>
      </c>
      <c r="D22" s="129"/>
      <c r="E22" s="130"/>
      <c r="F22" s="129"/>
      <c r="G22" s="129"/>
      <c r="H22" s="129"/>
      <c r="I22" s="129"/>
      <c r="J22" s="129"/>
      <c r="K22" s="129"/>
      <c r="L22" s="129"/>
      <c r="M22" s="129"/>
      <c r="N22" s="131">
        <f t="shared" si="0"/>
        <v>0</v>
      </c>
      <c r="O22" s="132">
        <f>'Dec 19'!$N22+'Nov 19'!$O22</f>
        <v>10196.36</v>
      </c>
    </row>
    <row r="23" spans="1:15" s="133" customFormat="1" ht="17.25" customHeight="1">
      <c r="A23" s="134" t="s">
        <v>26</v>
      </c>
      <c r="B23" s="122">
        <v>0</v>
      </c>
      <c r="C23" s="13">
        <v>0</v>
      </c>
      <c r="D23" s="135"/>
      <c r="E23" s="136"/>
      <c r="F23" s="135"/>
      <c r="G23" s="135"/>
      <c r="H23" s="135"/>
      <c r="I23" s="135"/>
      <c r="J23" s="135"/>
      <c r="K23" s="135"/>
      <c r="L23" s="135"/>
      <c r="M23" s="135"/>
      <c r="N23" s="131">
        <f t="shared" si="0"/>
        <v>0</v>
      </c>
      <c r="O23" s="132">
        <f>'Dec 19'!$N23+'Nov 19'!$O23</f>
        <v>11123.02</v>
      </c>
    </row>
    <row r="24" spans="1:15" s="133" customFormat="1" ht="17.25" customHeight="1">
      <c r="A24" s="128" t="s">
        <v>27</v>
      </c>
      <c r="B24" s="122">
        <v>0</v>
      </c>
      <c r="C24" s="13">
        <v>0</v>
      </c>
      <c r="D24" s="129"/>
      <c r="E24" s="130"/>
      <c r="F24" s="129"/>
      <c r="G24" s="129"/>
      <c r="H24" s="129"/>
      <c r="I24" s="129"/>
      <c r="J24" s="129"/>
      <c r="K24" s="129"/>
      <c r="L24" s="129"/>
      <c r="M24" s="129"/>
      <c r="N24" s="131">
        <f t="shared" si="0"/>
        <v>0</v>
      </c>
      <c r="O24" s="132">
        <f>'Dec 19'!$N24+'Nov 19'!$O24</f>
        <v>9728.810000000001</v>
      </c>
    </row>
    <row r="25" spans="1:15" s="133" customFormat="1" ht="17.25" customHeight="1">
      <c r="A25" s="134" t="s">
        <v>28</v>
      </c>
      <c r="B25" s="122">
        <v>0</v>
      </c>
      <c r="C25" s="13">
        <v>0</v>
      </c>
      <c r="D25" s="135"/>
      <c r="E25" s="136"/>
      <c r="F25" s="135"/>
      <c r="G25" s="135"/>
      <c r="H25" s="135"/>
      <c r="I25" s="135"/>
      <c r="J25" s="135"/>
      <c r="K25" s="135"/>
      <c r="L25" s="135"/>
      <c r="M25" s="135"/>
      <c r="N25" s="131">
        <f t="shared" si="0"/>
        <v>0</v>
      </c>
      <c r="O25" s="132">
        <f>'Dec 19'!$N25+'Nov 19'!$O25</f>
        <v>11102.28</v>
      </c>
    </row>
    <row r="26" spans="1:15" s="133" customFormat="1" ht="17.25" customHeight="1">
      <c r="A26" s="128" t="s">
        <v>29</v>
      </c>
      <c r="B26" s="122">
        <v>567.13</v>
      </c>
      <c r="C26" s="13">
        <v>1330.74</v>
      </c>
      <c r="D26" s="129"/>
      <c r="E26" s="130"/>
      <c r="F26" s="129"/>
      <c r="G26" s="129"/>
      <c r="H26" s="129"/>
      <c r="I26" s="129"/>
      <c r="J26" s="129"/>
      <c r="K26" s="129"/>
      <c r="L26" s="129"/>
      <c r="M26" s="129"/>
      <c r="N26" s="131">
        <f t="shared" si="0"/>
        <v>1897.87</v>
      </c>
      <c r="O26" s="132">
        <f>'Dec 19'!$N26+'Nov 19'!$O26</f>
        <v>23298.229999999996</v>
      </c>
    </row>
    <row r="27" spans="1:15" s="133" customFormat="1" ht="17.25" customHeight="1">
      <c r="A27" s="128" t="s">
        <v>31</v>
      </c>
      <c r="B27" s="122">
        <v>0</v>
      </c>
      <c r="C27" s="13">
        <v>0</v>
      </c>
      <c r="D27" s="129"/>
      <c r="E27" s="130"/>
      <c r="F27" s="129"/>
      <c r="G27" s="129"/>
      <c r="H27" s="129"/>
      <c r="I27" s="129"/>
      <c r="J27" s="129"/>
      <c r="K27" s="129"/>
      <c r="L27" s="129"/>
      <c r="M27" s="129"/>
      <c r="N27" s="131">
        <f t="shared" si="0"/>
        <v>0</v>
      </c>
      <c r="O27" s="132">
        <f>'Dec 19'!$N27+'Nov 19'!$O27</f>
        <v>12019.580000000002</v>
      </c>
    </row>
    <row r="28" spans="1:15" s="133" customFormat="1" ht="17.25" customHeight="1">
      <c r="A28" s="134" t="s">
        <v>32</v>
      </c>
      <c r="B28" s="122">
        <v>459.93</v>
      </c>
      <c r="C28" s="13">
        <v>1330.74</v>
      </c>
      <c r="D28" s="135"/>
      <c r="E28" s="136"/>
      <c r="F28" s="135"/>
      <c r="G28" s="135"/>
      <c r="H28" s="135"/>
      <c r="I28" s="135"/>
      <c r="J28" s="135"/>
      <c r="K28" s="135"/>
      <c r="L28" s="135"/>
      <c r="M28" s="135"/>
      <c r="N28" s="131">
        <f t="shared" si="0"/>
        <v>1790.67</v>
      </c>
      <c r="O28" s="132">
        <f>'Dec 19'!$N28+'Nov 19'!$O28</f>
        <v>21425.839999999997</v>
      </c>
    </row>
    <row r="29" spans="1:15" s="133" customFormat="1" ht="17.25" customHeight="1">
      <c r="A29" s="128" t="s">
        <v>33</v>
      </c>
      <c r="B29" s="122">
        <v>444.61</v>
      </c>
      <c r="C29" s="13">
        <v>1330.74</v>
      </c>
      <c r="D29" s="129"/>
      <c r="E29" s="130"/>
      <c r="F29" s="129"/>
      <c r="G29" s="129"/>
      <c r="H29" s="129"/>
      <c r="I29" s="129"/>
      <c r="J29" s="129"/>
      <c r="K29" s="129"/>
      <c r="L29" s="129"/>
      <c r="M29" s="129"/>
      <c r="N29" s="131">
        <f t="shared" si="0"/>
        <v>1775.35</v>
      </c>
      <c r="O29" s="132">
        <f>'Dec 19'!$N29+'Nov 19'!$O29</f>
        <v>20794.529999999995</v>
      </c>
    </row>
    <row r="30" spans="1:15" s="133" customFormat="1" ht="17.25" customHeight="1">
      <c r="A30" s="134" t="s">
        <v>34</v>
      </c>
      <c r="B30" s="122">
        <v>0</v>
      </c>
      <c r="C30" s="13">
        <v>0</v>
      </c>
      <c r="D30" s="135"/>
      <c r="E30" s="136"/>
      <c r="F30" s="137"/>
      <c r="G30" s="137"/>
      <c r="H30" s="135"/>
      <c r="I30" s="135"/>
      <c r="J30" s="135"/>
      <c r="K30" s="135"/>
      <c r="L30" s="137"/>
      <c r="M30" s="154"/>
      <c r="N30" s="131">
        <f t="shared" si="0"/>
        <v>0</v>
      </c>
      <c r="O30" s="132">
        <f>'Dec 19'!$N30+'Nov 19'!$O30</f>
        <v>13200.71</v>
      </c>
    </row>
    <row r="31" spans="1:15" s="133" customFormat="1" ht="17.25" customHeight="1">
      <c r="A31" s="128" t="s">
        <v>35</v>
      </c>
      <c r="B31" s="122">
        <v>559.47</v>
      </c>
      <c r="C31" s="13">
        <v>1330.74</v>
      </c>
      <c r="D31" s="129"/>
      <c r="E31" s="130"/>
      <c r="F31" s="129"/>
      <c r="G31" s="129"/>
      <c r="H31" s="129"/>
      <c r="I31" s="129"/>
      <c r="J31" s="129"/>
      <c r="K31" s="129"/>
      <c r="L31" s="129"/>
      <c r="M31" s="129"/>
      <c r="N31" s="131">
        <f t="shared" si="0"/>
        <v>1890.21</v>
      </c>
      <c r="O31" s="132">
        <f>'Dec 19'!$N31+'Nov 19'!$O31</f>
        <v>23654.6</v>
      </c>
    </row>
    <row r="32" spans="1:15" s="133" customFormat="1" ht="17.25" customHeight="1">
      <c r="A32" s="134" t="s">
        <v>36</v>
      </c>
      <c r="B32" s="122">
        <v>444.61</v>
      </c>
      <c r="C32" s="13">
        <v>1330.74</v>
      </c>
      <c r="D32" s="135"/>
      <c r="E32" s="184">
        <v>257.21</v>
      </c>
      <c r="F32" s="135"/>
      <c r="G32" s="135"/>
      <c r="H32" s="135"/>
      <c r="I32" s="135"/>
      <c r="J32" s="135"/>
      <c r="K32" s="135"/>
      <c r="L32" s="135"/>
      <c r="M32" s="135">
        <v>500</v>
      </c>
      <c r="N32" s="131">
        <f t="shared" si="0"/>
        <v>2532.56</v>
      </c>
      <c r="O32" s="132">
        <f>'Dec 19'!$N32+'Nov 19'!$O32</f>
        <v>39291.719999999994</v>
      </c>
    </row>
    <row r="33" spans="1:15" s="133" customFormat="1" ht="17.25" customHeight="1">
      <c r="A33" s="134" t="s">
        <v>82</v>
      </c>
      <c r="B33" s="122">
        <v>0</v>
      </c>
      <c r="C33" s="13">
        <v>0</v>
      </c>
      <c r="D33" s="129"/>
      <c r="E33" s="130"/>
      <c r="F33" s="129"/>
      <c r="G33" s="129"/>
      <c r="H33" s="129"/>
      <c r="I33" s="129"/>
      <c r="J33" s="129"/>
      <c r="K33" s="129"/>
      <c r="L33" s="129"/>
      <c r="M33" s="129"/>
      <c r="N33" s="131">
        <f t="shared" si="0"/>
        <v>0</v>
      </c>
      <c r="O33" s="132">
        <f>'Dec 19'!$N33+'Nov 19'!$O33</f>
        <v>9943.810000000001</v>
      </c>
    </row>
    <row r="34" spans="1:15" s="133" customFormat="1" ht="17.25" customHeight="1">
      <c r="A34" s="128" t="s">
        <v>39</v>
      </c>
      <c r="B34" s="122">
        <v>659.01</v>
      </c>
      <c r="C34" s="13">
        <v>1330.74</v>
      </c>
      <c r="D34" s="135"/>
      <c r="E34" s="136"/>
      <c r="F34" s="135"/>
      <c r="G34" s="135"/>
      <c r="H34" s="135"/>
      <c r="I34" s="135"/>
      <c r="J34" s="135"/>
      <c r="K34" s="135"/>
      <c r="L34" s="135"/>
      <c r="M34" s="135">
        <v>500</v>
      </c>
      <c r="N34" s="131">
        <f t="shared" si="0"/>
        <v>2489.75</v>
      </c>
      <c r="O34" s="132">
        <f>'Dec 19'!$N34+'Nov 19'!$O34</f>
        <v>31731.15</v>
      </c>
    </row>
    <row r="35" spans="1:15" s="133" customFormat="1" ht="17.25" customHeight="1">
      <c r="A35" s="134" t="s">
        <v>40</v>
      </c>
      <c r="B35" s="122">
        <v>707.9</v>
      </c>
      <c r="C35" s="13">
        <v>1330.74</v>
      </c>
      <c r="D35" s="129">
        <v>423.11</v>
      </c>
      <c r="E35" s="185">
        <f>186.83+296.37</f>
        <v>483.20000000000005</v>
      </c>
      <c r="F35" s="129"/>
      <c r="G35" s="129"/>
      <c r="H35" s="129"/>
      <c r="I35" s="129"/>
      <c r="J35" s="129">
        <v>459.96</v>
      </c>
      <c r="K35" s="129"/>
      <c r="L35" s="129"/>
      <c r="M35" s="129">
        <v>500</v>
      </c>
      <c r="N35" s="131">
        <f t="shared" si="0"/>
        <v>3904.91</v>
      </c>
      <c r="O35" s="132">
        <f>'Dec 19'!$N35+'Nov 19'!$O35</f>
        <v>39889.509999999995</v>
      </c>
    </row>
    <row r="36" spans="1:15" s="133" customFormat="1" ht="17.25" customHeight="1">
      <c r="A36" s="128" t="s">
        <v>41</v>
      </c>
      <c r="B36" s="122">
        <v>444.61</v>
      </c>
      <c r="C36" s="13">
        <v>1330.74</v>
      </c>
      <c r="D36" s="135"/>
      <c r="E36" s="136"/>
      <c r="F36" s="135"/>
      <c r="G36" s="135"/>
      <c r="H36" s="135"/>
      <c r="I36" s="135"/>
      <c r="J36" s="135"/>
      <c r="K36" s="135"/>
      <c r="L36" s="135"/>
      <c r="M36" s="135"/>
      <c r="N36" s="131">
        <f t="shared" si="0"/>
        <v>1775.35</v>
      </c>
      <c r="O36" s="132">
        <f>'Dec 19'!$N36+'Nov 19'!$O36</f>
        <v>22622.649999999998</v>
      </c>
    </row>
    <row r="37" spans="1:15" s="133" customFormat="1" ht="17.25" customHeight="1">
      <c r="A37" s="134" t="s">
        <v>42</v>
      </c>
      <c r="B37" s="122">
        <v>725.62</v>
      </c>
      <c r="C37" s="13">
        <v>1330.74</v>
      </c>
      <c r="D37" s="129"/>
      <c r="E37" s="138"/>
      <c r="F37" s="129"/>
      <c r="G37" s="129"/>
      <c r="H37" s="129"/>
      <c r="I37" s="129"/>
      <c r="J37" s="129"/>
      <c r="K37" s="129"/>
      <c r="L37" s="129"/>
      <c r="M37" s="129"/>
      <c r="N37" s="131">
        <f t="shared" si="0"/>
        <v>2056.36</v>
      </c>
      <c r="O37" s="132">
        <f>'Dec 19'!$N37+'Nov 19'!$O37</f>
        <v>31843.829999999998</v>
      </c>
    </row>
    <row r="38" spans="1:15" s="133" customFormat="1" ht="17.25" customHeight="1">
      <c r="A38" s="128" t="s">
        <v>43</v>
      </c>
      <c r="B38" s="122">
        <v>544.15</v>
      </c>
      <c r="C38" s="13">
        <v>1330.74</v>
      </c>
      <c r="D38" s="139"/>
      <c r="E38" s="140"/>
      <c r="F38" s="141"/>
      <c r="G38" s="141"/>
      <c r="H38" s="141"/>
      <c r="I38" s="141"/>
      <c r="J38" s="141">
        <v>459.96</v>
      </c>
      <c r="K38" s="141"/>
      <c r="L38" s="141"/>
      <c r="M38" s="141"/>
      <c r="N38" s="131">
        <f t="shared" si="0"/>
        <v>2334.85</v>
      </c>
      <c r="O38" s="132">
        <f>'Dec 19'!$N38+'Nov 19'!$O38</f>
        <v>26495.199999999993</v>
      </c>
    </row>
    <row r="39" spans="1:15" s="133" customFormat="1" ht="17.25" customHeight="1">
      <c r="A39" s="134" t="s">
        <v>44</v>
      </c>
      <c r="B39" s="122">
        <v>528.84</v>
      </c>
      <c r="C39" s="13">
        <v>1330.74</v>
      </c>
      <c r="D39" s="142"/>
      <c r="E39" s="143"/>
      <c r="F39" s="144"/>
      <c r="G39" s="140">
        <v>2299.8</v>
      </c>
      <c r="H39" s="140"/>
      <c r="I39" s="140"/>
      <c r="J39" s="140"/>
      <c r="K39" s="140"/>
      <c r="L39" s="140"/>
      <c r="M39" s="140"/>
      <c r="N39" s="131">
        <f t="shared" si="0"/>
        <v>4159.38</v>
      </c>
      <c r="O39" s="132">
        <f>'Dec 19'!$N39+'Nov 19'!$O39</f>
        <v>50500.61</v>
      </c>
    </row>
    <row r="40" spans="1:15" s="133" customFormat="1" ht="17.25" customHeight="1">
      <c r="A40" s="128" t="s">
        <v>45</v>
      </c>
      <c r="B40" s="122">
        <v>0</v>
      </c>
      <c r="C40" s="13">
        <v>0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31">
        <f t="shared" si="0"/>
        <v>0</v>
      </c>
      <c r="O40" s="132">
        <f>'Dec 19'!$N40+'Nov 19'!$O40</f>
        <v>9847.25</v>
      </c>
    </row>
    <row r="41" spans="1:15" s="133" customFormat="1" ht="17.25" customHeight="1">
      <c r="A41" s="145" t="s">
        <v>46</v>
      </c>
      <c r="B41" s="122">
        <v>459.93</v>
      </c>
      <c r="C41" s="13">
        <v>1330.74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31">
        <f t="shared" si="0"/>
        <v>1790.67</v>
      </c>
      <c r="O41" s="132">
        <f>'Dec 19'!$N41+'Nov 19'!$O41</f>
        <v>26050.14</v>
      </c>
    </row>
    <row r="42" spans="1:15" s="133" customFormat="1" ht="17.25" customHeight="1" thickBot="1">
      <c r="A42" s="146" t="s">
        <v>91</v>
      </c>
      <c r="B42" s="123">
        <v>643.69</v>
      </c>
      <c r="C42" s="13">
        <v>1330.74</v>
      </c>
      <c r="D42" s="147"/>
      <c r="E42" s="147"/>
      <c r="F42" s="147"/>
      <c r="G42" s="147"/>
      <c r="H42" s="147">
        <v>459.96</v>
      </c>
      <c r="I42" s="147"/>
      <c r="J42" s="147"/>
      <c r="K42" s="147"/>
      <c r="L42" s="147"/>
      <c r="M42" s="147"/>
      <c r="N42" s="131">
        <f t="shared" si="0"/>
        <v>2434.39</v>
      </c>
      <c r="O42" s="132">
        <f>'Dec 19'!$N42+'Nov 19'!$O42</f>
        <v>40326.84</v>
      </c>
    </row>
    <row r="43" spans="1:15" s="133" customFormat="1" ht="17.25" customHeight="1" thickBot="1" thickTop="1">
      <c r="A43" s="178" t="s">
        <v>130</v>
      </c>
      <c r="B43" s="123">
        <v>0</v>
      </c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31">
        <f t="shared" si="0"/>
        <v>0</v>
      </c>
      <c r="O43" s="132">
        <f>'Dec 19'!$N43+'Nov 19'!$O43</f>
        <v>0</v>
      </c>
    </row>
    <row r="44" spans="1:15" s="133" customFormat="1" ht="16.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31">
        <f t="shared" si="0"/>
        <v>1775.35</v>
      </c>
      <c r="O44" s="132">
        <f>'Dec 19'!$N44+'Nov 19'!$O44</f>
        <v>12670.240000000002</v>
      </c>
    </row>
    <row r="45" spans="1:15" s="133" customFormat="1" ht="16.5" thickBot="1" thickTop="1">
      <c r="A45" s="175" t="s">
        <v>114</v>
      </c>
      <c r="B45" s="123">
        <v>467.59</v>
      </c>
      <c r="C45" s="13">
        <v>1330.74</v>
      </c>
      <c r="D45" s="158"/>
      <c r="E45" s="100"/>
      <c r="F45" s="159"/>
      <c r="G45" s="100"/>
      <c r="H45" s="100"/>
      <c r="I45" s="100"/>
      <c r="J45" s="157"/>
      <c r="K45" s="100"/>
      <c r="L45" s="100"/>
      <c r="M45" s="100"/>
      <c r="N45" s="131">
        <f t="shared" si="0"/>
        <v>1798.33</v>
      </c>
      <c r="O45" s="132">
        <f>'Dec 19'!$N45+'Nov 19'!$O45</f>
        <v>14308.460000000001</v>
      </c>
    </row>
    <row r="46" spans="1:15" ht="16.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31">
        <f t="shared" si="0"/>
        <v>1920.8400000000001</v>
      </c>
      <c r="O46" s="132">
        <f>'Dec 19'!$N46+'Nov 19'!$O46</f>
        <v>13838.67</v>
      </c>
    </row>
    <row r="47" spans="1:15" ht="16.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31">
        <f t="shared" si="0"/>
        <v>1783.01</v>
      </c>
      <c r="O47" s="132">
        <f>'Dec 19'!$N47+'Nov 19'!$O47</f>
        <v>12723.86</v>
      </c>
    </row>
    <row r="48" spans="1:15" ht="16.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31">
        <f t="shared" si="0"/>
        <v>1775.35</v>
      </c>
      <c r="O48" s="132">
        <f>'Dec 19'!$N48+'Nov 19'!$O48</f>
        <v>12670.240000000002</v>
      </c>
    </row>
    <row r="49" spans="1:15" ht="16.5" thickBot="1" thickTop="1">
      <c r="A49" s="175" t="s">
        <v>118</v>
      </c>
      <c r="B49" s="123">
        <v>444.61</v>
      </c>
      <c r="C49" s="13">
        <v>1330.74</v>
      </c>
      <c r="D49" s="158"/>
      <c r="E49" s="100"/>
      <c r="F49" s="159"/>
      <c r="G49" s="100"/>
      <c r="H49" s="100"/>
      <c r="I49" s="100"/>
      <c r="J49" s="157"/>
      <c r="K49" s="100"/>
      <c r="L49" s="100"/>
      <c r="M49" s="100"/>
      <c r="N49" s="131">
        <f t="shared" si="0"/>
        <v>1775.35</v>
      </c>
      <c r="O49" s="132">
        <f>'Dec 19'!$N49+'Nov 19'!$O49</f>
        <v>15731.01</v>
      </c>
    </row>
    <row r="50" spans="1:15" ht="16.5" thickBot="1" thickTop="1">
      <c r="A50" s="175" t="s">
        <v>119</v>
      </c>
      <c r="B50" s="123">
        <v>444.61</v>
      </c>
      <c r="C50" s="13">
        <v>1330.74</v>
      </c>
      <c r="D50" s="158"/>
      <c r="E50" s="100">
        <f>251.83+230.13+192.18</f>
        <v>674.1400000000001</v>
      </c>
      <c r="F50" s="159"/>
      <c r="G50" s="100"/>
      <c r="H50" s="100"/>
      <c r="I50" s="100"/>
      <c r="J50" s="157"/>
      <c r="K50" s="100"/>
      <c r="L50" s="100"/>
      <c r="M50" s="100"/>
      <c r="N50" s="131">
        <f t="shared" si="0"/>
        <v>2449.49</v>
      </c>
      <c r="O50" s="132">
        <f>'Dec 19'!$N50+'Nov 19'!$O50</f>
        <v>13988.27</v>
      </c>
    </row>
    <row r="51" spans="1:15" ht="16.5" thickBot="1" thickTop="1">
      <c r="A51" s="175" t="s">
        <v>120</v>
      </c>
      <c r="B51" s="123">
        <v>444.61</v>
      </c>
      <c r="C51" s="13">
        <v>1330.74</v>
      </c>
      <c r="D51" s="158"/>
      <c r="E51" s="100"/>
      <c r="F51" s="159"/>
      <c r="G51" s="100"/>
      <c r="H51" s="100"/>
      <c r="I51" s="100"/>
      <c r="J51" s="157"/>
      <c r="K51" s="100"/>
      <c r="L51" s="100"/>
      <c r="M51" s="100"/>
      <c r="N51" s="131">
        <f t="shared" si="0"/>
        <v>1775.35</v>
      </c>
      <c r="O51" s="132">
        <f>'Dec 19'!$N51+'Nov 19'!$O51</f>
        <v>13095.130000000001</v>
      </c>
    </row>
    <row r="52" spans="1:15" ht="16.5" thickBot="1" thickTop="1">
      <c r="A52" s="175" t="s">
        <v>121</v>
      </c>
      <c r="B52" s="123">
        <v>444.61</v>
      </c>
      <c r="C52" s="13">
        <v>1330.74</v>
      </c>
      <c r="D52" s="158"/>
      <c r="E52" s="100"/>
      <c r="F52" s="159"/>
      <c r="G52" s="100"/>
      <c r="H52" s="100"/>
      <c r="I52" s="100"/>
      <c r="J52" s="157"/>
      <c r="K52" s="100"/>
      <c r="L52" s="100"/>
      <c r="M52" s="157">
        <v>500</v>
      </c>
      <c r="N52" s="131">
        <f t="shared" si="0"/>
        <v>2275.35</v>
      </c>
      <c r="O52" s="132">
        <f>'Dec 19'!$N52+'Nov 19'!$O52</f>
        <v>17072.48</v>
      </c>
    </row>
    <row r="53" spans="1:15" ht="16.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>
        <v>150</v>
      </c>
      <c r="M53" s="100"/>
      <c r="N53" s="131">
        <f t="shared" si="0"/>
        <v>1925.35</v>
      </c>
      <c r="O53" s="132">
        <f>'Dec 19'!$N53+'Nov 19'!$O53</f>
        <v>12820.240000000002</v>
      </c>
    </row>
    <row r="54" spans="1:15" ht="16.5" thickBot="1" thickTop="1">
      <c r="A54" s="175" t="s">
        <v>123</v>
      </c>
      <c r="B54" s="123">
        <v>444.61</v>
      </c>
      <c r="C54" s="13">
        <v>1330.74</v>
      </c>
      <c r="D54" s="183">
        <v>349.96</v>
      </c>
      <c r="E54" s="100"/>
      <c r="F54" s="159"/>
      <c r="G54" s="100"/>
      <c r="H54" s="100"/>
      <c r="I54" s="100"/>
      <c r="J54" s="157"/>
      <c r="K54" s="100"/>
      <c r="L54" s="100"/>
      <c r="M54" s="100"/>
      <c r="N54" s="131">
        <f t="shared" si="0"/>
        <v>2125.31</v>
      </c>
      <c r="O54" s="132">
        <f>'Dec 19'!$N54+'Nov 19'!$O54</f>
        <v>13428.68</v>
      </c>
    </row>
    <row r="55" spans="1:15" ht="16.5" thickBot="1" thickTop="1">
      <c r="A55" s="175" t="s">
        <v>124</v>
      </c>
      <c r="B55" s="123">
        <v>444.61</v>
      </c>
      <c r="C55" s="13">
        <v>1330.74</v>
      </c>
      <c r="D55" s="158"/>
      <c r="E55" s="100"/>
      <c r="F55" s="159"/>
      <c r="G55" s="100"/>
      <c r="H55" s="100"/>
      <c r="I55" s="100"/>
      <c r="J55" s="157"/>
      <c r="K55" s="100"/>
      <c r="L55" s="100"/>
      <c r="M55" s="100"/>
      <c r="N55" s="131">
        <f t="shared" si="0"/>
        <v>1775.35</v>
      </c>
      <c r="O55" s="132">
        <f>'Dec 19'!$N55+'Nov 19'!$O55</f>
        <v>13242.2</v>
      </c>
    </row>
    <row r="56" spans="1:15" ht="16.5" thickBot="1" thickTop="1">
      <c r="A56" s="175" t="s">
        <v>125</v>
      </c>
      <c r="B56" s="123">
        <v>666.67</v>
      </c>
      <c r="C56" s="13">
        <v>1330.74</v>
      </c>
      <c r="D56" s="158"/>
      <c r="E56" s="100"/>
      <c r="F56" s="159"/>
      <c r="G56" s="100"/>
      <c r="H56" s="100"/>
      <c r="I56" s="100"/>
      <c r="J56" s="157"/>
      <c r="K56" s="100"/>
      <c r="L56" s="100"/>
      <c r="M56" s="100"/>
      <c r="N56" s="131">
        <f t="shared" si="0"/>
        <v>1997.4099999999999</v>
      </c>
      <c r="O56" s="132">
        <f>'Dec 19'!$N56+'Nov 19'!$O56</f>
        <v>14334.84</v>
      </c>
    </row>
    <row r="57" spans="1:15" ht="16.5" thickBot="1" thickTop="1">
      <c r="A57" s="175" t="s">
        <v>126</v>
      </c>
      <c r="B57" s="123">
        <v>482.9</v>
      </c>
      <c r="C57" s="13">
        <v>1330.74</v>
      </c>
      <c r="D57" s="158"/>
      <c r="E57" s="100"/>
      <c r="F57" s="159"/>
      <c r="G57" s="100"/>
      <c r="H57" s="100"/>
      <c r="I57" s="100"/>
      <c r="J57" s="157"/>
      <c r="K57" s="100"/>
      <c r="L57" s="100"/>
      <c r="M57" s="100"/>
      <c r="N57" s="131">
        <f t="shared" si="0"/>
        <v>1813.6399999999999</v>
      </c>
      <c r="O57" s="132">
        <f>'Dec 19'!$N57+'Nov 19'!$O57</f>
        <v>13002.829999999998</v>
      </c>
    </row>
    <row r="58" spans="1:15" ht="16.5" thickBot="1" thickTop="1">
      <c r="A58" s="175" t="s">
        <v>127</v>
      </c>
      <c r="B58" s="123">
        <v>444.61</v>
      </c>
      <c r="C58" s="13">
        <v>1330.74</v>
      </c>
      <c r="D58" s="158"/>
      <c r="E58" s="100"/>
      <c r="F58" s="159"/>
      <c r="G58" s="100"/>
      <c r="H58" s="100"/>
      <c r="I58" s="100"/>
      <c r="J58" s="157"/>
      <c r="K58" s="100"/>
      <c r="L58" s="100"/>
      <c r="M58" s="100"/>
      <c r="N58" s="131">
        <f t="shared" si="0"/>
        <v>1775.35</v>
      </c>
      <c r="O58" s="132">
        <f>'Dec 19'!$N58+'Nov 19'!$O58</f>
        <v>13249.210000000001</v>
      </c>
    </row>
    <row r="59" spans="1:15" ht="16.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/>
      <c r="L59" s="100"/>
      <c r="M59" s="100"/>
      <c r="N59" s="131">
        <f t="shared" si="0"/>
        <v>1775.35</v>
      </c>
      <c r="O59" s="132">
        <f>'Dec 19'!$N59+'Nov 19'!$O59</f>
        <v>12820.240000000002</v>
      </c>
    </row>
    <row r="60" spans="1:15" ht="16.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/>
      <c r="M60" s="100"/>
      <c r="N60" s="131">
        <f t="shared" si="0"/>
        <v>1775.35</v>
      </c>
      <c r="O60" s="132">
        <f>'Dec 19'!$N60+'Nov 19'!$O60</f>
        <v>12770.240000000002</v>
      </c>
    </row>
    <row r="61" spans="1:15" ht="14.25" thickBot="1" thickTop="1">
      <c r="A61" s="81"/>
      <c r="B61" s="96">
        <f aca="true" t="shared" si="1" ref="B61:O61">SUM(B3:B60)</f>
        <v>20711.510000000006</v>
      </c>
      <c r="C61" s="96">
        <f t="shared" si="1"/>
        <v>53229.599999999984</v>
      </c>
      <c r="D61" s="96">
        <f t="shared" si="1"/>
        <v>1473</v>
      </c>
      <c r="E61" s="96">
        <f t="shared" si="1"/>
        <v>6493.76</v>
      </c>
      <c r="F61" s="96">
        <f t="shared" si="1"/>
        <v>0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0</v>
      </c>
      <c r="L61" s="96">
        <f t="shared" si="1"/>
        <v>150</v>
      </c>
      <c r="M61" s="96">
        <f t="shared" si="1"/>
        <v>2500</v>
      </c>
      <c r="N61" s="15">
        <f t="shared" si="1"/>
        <v>90077.39000000003</v>
      </c>
      <c r="O61" s="96">
        <f t="shared" si="1"/>
        <v>1152452.39</v>
      </c>
    </row>
    <row r="62" ht="13.5" thickTop="1"/>
  </sheetData>
  <sheetProtection password="F2A9" sheet="1"/>
  <mergeCells count="1">
    <mergeCell ref="A1:N1"/>
  </mergeCells>
  <printOptions gridLines="1" headings="1"/>
  <pageMargins left="0.7086614173228347" right="0.7086614173228347" top="0.35433070866141736" bottom="0.35433070866141736" header="0.31496062992125984" footer="0.5118110236220472"/>
  <pageSetup fitToHeight="1" fitToWidth="1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Q61"/>
  <sheetViews>
    <sheetView zoomScalePageLayoutView="0" workbookViewId="0" topLeftCell="A46">
      <pane xSplit="1" topLeftCell="E1" activePane="topRight" state="frozen"/>
      <selection pane="topLeft" activeCell="A1" sqref="A1"/>
      <selection pane="topRight" activeCell="F2" sqref="F1:F16384"/>
    </sheetView>
  </sheetViews>
  <sheetFormatPr defaultColWidth="12.421875" defaultRowHeight="12.75"/>
  <cols>
    <col min="1" max="1" width="26.7109375" style="0" customWidth="1"/>
    <col min="2" max="2" width="16.421875" style="0" customWidth="1"/>
    <col min="3" max="3" width="16.7109375" style="0" bestFit="1" customWidth="1"/>
    <col min="4" max="4" width="16.00390625" style="0" customWidth="1"/>
    <col min="5" max="5" width="18.00390625" style="0" customWidth="1"/>
    <col min="6" max="6" width="15.421875" style="0" customWidth="1"/>
    <col min="7" max="7" width="16.7109375" style="0" customWidth="1"/>
    <col min="8" max="8" width="19.140625" style="0" customWidth="1"/>
    <col min="9" max="9" width="16.7109375" style="0" customWidth="1"/>
    <col min="10" max="10" width="15.57421875" style="0" customWidth="1"/>
    <col min="11" max="11" width="14.8515625" style="0" customWidth="1"/>
    <col min="12" max="12" width="14.57421875" style="0" customWidth="1"/>
    <col min="13" max="13" width="17.7109375" style="0" customWidth="1"/>
    <col min="14" max="14" width="16.00390625" style="0" customWidth="1"/>
  </cols>
  <sheetData>
    <row r="1" spans="1:14" ht="20.25">
      <c r="A1" s="187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7" s="7" customFormat="1" ht="55.5" customHeight="1">
      <c r="A2" s="108" t="s">
        <v>0</v>
      </c>
      <c r="B2" s="108" t="s">
        <v>1</v>
      </c>
      <c r="C2" s="108" t="s">
        <v>2</v>
      </c>
      <c r="D2" s="108" t="s">
        <v>6</v>
      </c>
      <c r="E2" s="108" t="s">
        <v>5</v>
      </c>
      <c r="F2" s="108" t="s">
        <v>59</v>
      </c>
      <c r="G2" s="108" t="s">
        <v>80</v>
      </c>
      <c r="H2" s="108" t="s">
        <v>90</v>
      </c>
      <c r="I2" s="108" t="s">
        <v>79</v>
      </c>
      <c r="J2" s="108" t="s">
        <v>57</v>
      </c>
      <c r="K2" s="109" t="s">
        <v>81</v>
      </c>
      <c r="L2" s="108" t="s">
        <v>3</v>
      </c>
      <c r="M2" s="108" t="s">
        <v>55</v>
      </c>
      <c r="N2" s="108" t="s">
        <v>56</v>
      </c>
      <c r="O2" s="1"/>
      <c r="P2" s="1"/>
      <c r="Q2" s="1"/>
    </row>
    <row r="3" spans="1:14" s="126" customFormat="1" ht="20.25" customHeight="1">
      <c r="A3" s="148" t="s">
        <v>7</v>
      </c>
      <c r="B3" s="149">
        <f>'Jan 19'!$B3+'Feb 19'!$B3+'Mar 19'!$B3+'Apr 19'!$B3+'May 19'!$B3+'Jun 19'!$B3+'Jul 19'!$B3+'Aug 19'!$B3+'Sept 19'!$B3+'Oct 19'!$B3+'Nov 19'!$B3+'Dec 19'!$B3</f>
        <v>5400.22</v>
      </c>
      <c r="C3" s="149">
        <f>'Jan 19'!$C3+'Feb 19'!$C3+'Mar 19'!$C3+'Apr 19'!$C3+'May 19'!$C3+'Jun 19'!$C3+'Jul 19'!$C3+'Aug 19'!$C3+'Sept 19'!$C3+'Oct 19'!$C3+'Nov 19'!$C3+'Dec 19'!$C3</f>
        <v>7519.959999999999</v>
      </c>
      <c r="D3" s="149">
        <f>'Jan 19'!$D3+'Feb 19'!$D3+'Mar 19'!$D3+'Apr 19'!$D3+'May 19'!$D3+'Jun 19'!$D3+'Jul 19'!$D3+'Aug 19'!$D3+'Sept 19'!$D3+'Oct 19'!$D3+'Nov 19'!$D3+'Dec 19'!$D3</f>
        <v>529.78</v>
      </c>
      <c r="E3" s="150">
        <f>'Jan 19'!$E3+'Feb 19'!$E3+'Mar 19'!$E3+'Apr 19'!$E3+'May 19'!$E3+'Jun 19'!$E3+'Jul 19'!$E3+'Aug 19'!$E3+'Sept 19'!$E3+'Oct 19'!$E3+'Nov 19'!$E3+'Dec 19'!$E3</f>
        <v>1573.96</v>
      </c>
      <c r="F3" s="149">
        <f>'Jan 19'!$F3+'Feb 19'!$F3+'Mar 19'!$F3+'Apr 19'!$F3+'May 19'!$F3+'Jun 19'!$F3+'Jul 19'!$F3+'Aug 19'!$F3+'Sept 19'!$F3+'Oct 19'!$F3+'Nov 19'!$F3+'Dec 19'!$F3</f>
        <v>0</v>
      </c>
      <c r="G3" s="149">
        <f>'Jan 19'!$G3+'Feb 19'!$G3+'Mar 19'!$G3+'Apr 19'!$G3+'May 19'!$G3+'Jun 19'!$G3+'Jul 19'!$G3+'Aug 19'!$G3+'Sept 19'!$G3+'Oct 19'!$G3+'Nov 19'!$G3+'Dec 19'!$G3</f>
        <v>0</v>
      </c>
      <c r="H3" s="149">
        <f>'Jan 19'!$H3+'Feb 19'!$H3+'Mar 19'!$H3+'Apr 19'!$H3+'May 19'!$H3+'Jun 19'!$H3+'Jul 19'!$H3+'Aug 19'!$H3+'Sept 19'!$H3+'Oct 19'!$H3+'Nov 19'!$H3+'Dec 19'!$H3</f>
        <v>0</v>
      </c>
      <c r="I3" s="149">
        <f>'Jan 19'!$I3+'Feb 19'!$I3+'Mar 19'!$I3+'Apr 19'!$I3+'May 19'!$I3+'Jun 19'!$I3+'Jul 19'!$I3+'Aug 19'!$I3+'Sept 19'!$I3+'Oct 19'!$I3+'Nov 19'!$I3+'Dec 19'!$I3</f>
        <v>0</v>
      </c>
      <c r="J3" s="149">
        <f>'Jan 19'!$J3+'Feb 19'!$J3+'Mar 19'!$J3+'Apr 19'!$J3+'May 19'!$J3+'Jun 19'!$J3+'Jul 19'!$J3+'Aug 19'!$J3+'Sept 19'!$J3+'Oct 19'!$J3+'Nov 19'!$J3+'Dec 19'!$J3</f>
        <v>0</v>
      </c>
      <c r="K3" s="149">
        <f>'Jan 19'!$K3+'Feb 19'!$K3+'Mar 19'!$K3+'Apr 19'!$K3+'May 19'!$K3+'Jun 19'!$K3+'Jul 19'!$K3+'Aug 19'!$K3+'Sept 19'!$K3+'Oct 19'!$K3+'Nov 19'!$K3+'Dec 19'!$K3</f>
        <v>75</v>
      </c>
      <c r="L3" s="149">
        <f>'Jan 19'!$L3+'Feb 19'!$L3+'Mar 19'!$L3+'Apr 19'!$L3+'May 19'!$L3+'Jun 19'!$L3+'Jul 19'!$L3+'Aug 19'!$L3+'Sept 19'!$L3+'Oct 19'!$L3+'Nov 19'!$L3+'Dec 19'!$L3</f>
        <v>272.49</v>
      </c>
      <c r="M3" s="149">
        <f>'Jan 19'!$M3+'Feb 19'!$M3+'Mar 19'!$M3+'Apr 19'!$M3+'May 19'!$M3+'Jun 19'!$M3+'Jul 19'!$M3+'Aug 19'!$M3+'Sept 19'!$M3+'Oct 19'!$M3+'Nov 19'!$M3+'Dec 19'!$M3</f>
        <v>0</v>
      </c>
      <c r="N3" s="151">
        <f>SUM(B3:M3)</f>
        <v>15371.410000000002</v>
      </c>
    </row>
    <row r="4" spans="1:14" s="126" customFormat="1" ht="20.25" customHeight="1">
      <c r="A4" s="127" t="s">
        <v>8</v>
      </c>
      <c r="B4" s="149">
        <f>'Jan 19'!$B4+'Feb 19'!$B4+'Mar 19'!$B4+'Apr 19'!$B4+'May 19'!$B4+'Jun 19'!$B4+'Jul 19'!$B4+'Aug 19'!$B4+'Sept 19'!$B4+'Oct 19'!$B4+'Nov 19'!$B4+'Dec 19'!$B4</f>
        <v>5270.719999999999</v>
      </c>
      <c r="C4" s="149">
        <f>'Jan 19'!$C4+'Feb 19'!$C4+'Mar 19'!$C4+'Apr 19'!$C4+'May 19'!$C4+'Jun 19'!$C4+'Jul 19'!$C4+'Aug 19'!$C4+'Sept 19'!$C4+'Oct 19'!$C4+'Nov 19'!$C4+'Dec 19'!$C4</f>
        <v>17093.34</v>
      </c>
      <c r="D4" s="149">
        <f>'Jan 19'!$D4+'Feb 19'!$D4+'Mar 19'!$D4+'Apr 19'!$D4+'May 19'!$D4+'Jun 19'!$D4+'Jul 19'!$D4+'Aug 19'!$D4+'Sept 19'!$D4+'Oct 19'!$D4+'Nov 19'!$D4+'Dec 19'!$D4</f>
        <v>250.02</v>
      </c>
      <c r="E4" s="150">
        <f>'Jan 19'!$E4+'Feb 19'!$E4+'Mar 19'!$E4+'Apr 19'!$E4+'May 19'!$E4+'Jun 19'!$E4+'Jul 19'!$E4+'Aug 19'!$E4+'Sept 19'!$E4+'Oct 19'!$E4+'Nov 19'!$E4+'Dec 19'!$E4</f>
        <v>4268.2300000000005</v>
      </c>
      <c r="F4" s="149">
        <f>'Jan 19'!$F4+'Feb 19'!$F4+'Mar 19'!$F4+'Apr 19'!$F4+'May 19'!$F4+'Jun 19'!$F4+'Jul 19'!$F4+'Aug 19'!$F4+'Sept 19'!$F4+'Oct 19'!$F4+'Nov 19'!$F4+'Dec 19'!$F4</f>
        <v>2316.25</v>
      </c>
      <c r="G4" s="149">
        <f>'Jan 19'!$G4+'Feb 19'!$G4+'Mar 19'!$G4+'Apr 19'!$G4+'May 19'!$G4+'Jun 19'!$G4+'Jul 19'!$G4+'Aug 19'!$G4+'Sept 19'!$G4+'Oct 19'!$G4+'Nov 19'!$G4+'Dec 19'!$G4</f>
        <v>0</v>
      </c>
      <c r="H4" s="149">
        <f>'Jan 19'!$H4+'Feb 19'!$H4+'Mar 19'!$H4+'Apr 19'!$H4+'May 19'!$H4+'Jun 19'!$H4+'Jul 19'!$H4+'Aug 19'!$H4+'Sept 19'!$H4+'Oct 19'!$H4+'Nov 19'!$H4+'Dec 19'!$H4</f>
        <v>0</v>
      </c>
      <c r="I4" s="149">
        <f>'Jan 19'!$I4+'Feb 19'!$I4+'Mar 19'!$I4+'Apr 19'!$I4+'May 19'!$I4+'Jun 19'!$I4+'Jul 19'!$I4+'Aug 19'!$I4+'Sept 19'!$I4+'Oct 19'!$I4+'Nov 19'!$I4+'Dec 19'!$I4</f>
        <v>8555.26</v>
      </c>
      <c r="J4" s="149">
        <f>'Jan 19'!$J4+'Feb 19'!$J4+'Mar 19'!$J4+'Apr 19'!$J4+'May 19'!$J4+'Jun 19'!$J4+'Jul 19'!$J4+'Aug 19'!$J4+'Sept 19'!$J4+'Oct 19'!$J4+'Nov 19'!$J4+'Dec 19'!$J4</f>
        <v>0</v>
      </c>
      <c r="K4" s="149">
        <f>'Jan 19'!$K4+'Feb 19'!$K4+'Mar 19'!$K4+'Apr 19'!$K4+'May 19'!$K4+'Jun 19'!$K4+'Jul 19'!$K4+'Aug 19'!$K4+'Sept 19'!$K4+'Oct 19'!$K4+'Nov 19'!$K4+'Dec 19'!$K4</f>
        <v>225</v>
      </c>
      <c r="L4" s="149">
        <f>'Jan 19'!$L4+'Feb 19'!$L4+'Mar 19'!$L4+'Apr 19'!$L4+'May 19'!$L4+'Jun 19'!$L4+'Jul 19'!$L4+'Aug 19'!$L4+'Sept 19'!$L4+'Oct 19'!$L4+'Nov 19'!$L4+'Dec 19'!$L4</f>
        <v>215.10999999999999</v>
      </c>
      <c r="M4" s="149">
        <f>'Jan 19'!$M4+'Feb 19'!$M4+'Mar 19'!$M4+'Apr 19'!$M4+'May 19'!$M4+'Jun 19'!$M4+'Jul 19'!$M4+'Aug 19'!$M4+'Sept 19'!$M4+'Oct 19'!$M4+'Nov 19'!$M4+'Dec 19'!$M4</f>
        <v>0</v>
      </c>
      <c r="N4" s="151">
        <f aca="true" t="shared" si="0" ref="N4:N60">SUM(B4:M4)</f>
        <v>38193.93</v>
      </c>
    </row>
    <row r="5" spans="1:14" s="126" customFormat="1" ht="20.25" customHeight="1">
      <c r="A5" s="127" t="s">
        <v>100</v>
      </c>
      <c r="B5" s="149">
        <f>'Jan 19'!$B5+'Feb 19'!$B5+'Mar 19'!$B5+'Apr 19'!$B5+'May 19'!$B5+'Jun 19'!$B5+'Jul 19'!$B5+'Aug 19'!$B5+'Sept 19'!$B5+'Oct 19'!$B5+'Nov 19'!$B5+'Dec 19'!$B5</f>
        <v>1732.08</v>
      </c>
      <c r="C5" s="149">
        <f>'Jan 19'!$C5+'Feb 19'!$C5+'Mar 19'!$C5+'Apr 19'!$C5+'May 19'!$C5+'Jun 19'!$C5+'Jul 19'!$C5+'Aug 19'!$C5+'Sept 19'!$C5+'Oct 19'!$C5+'Nov 19'!$C5+'Dec 19'!$C5</f>
        <v>8827.78</v>
      </c>
      <c r="D5" s="149">
        <f>'Jan 19'!$D5+'Feb 19'!$D5+'Mar 19'!$D5+'Apr 19'!$D5+'May 19'!$D5+'Jun 19'!$D5+'Jul 19'!$D5+'Aug 19'!$D5+'Sept 19'!$D5+'Oct 19'!$D5+'Nov 19'!$D5+'Dec 19'!$D5</f>
        <v>0</v>
      </c>
      <c r="E5" s="150">
        <f>'Jan 19'!$E5+'Feb 19'!$E5+'Mar 19'!$E5+'Apr 19'!$E5+'May 19'!$E5+'Jun 19'!$E5+'Jul 19'!$E5+'Aug 19'!$E5+'Sept 19'!$E5+'Oct 19'!$E5+'Nov 19'!$E5+'Dec 19'!$E5</f>
        <v>0</v>
      </c>
      <c r="F5" s="149">
        <f>'Jan 19'!$F5+'Feb 19'!$F5+'Mar 19'!$F5+'Apr 19'!$F5+'May 19'!$F5+'Jun 19'!$F5+'Jul 19'!$F5+'Aug 19'!$F5+'Sept 19'!$F5+'Oct 19'!$F5+'Nov 19'!$F5+'Dec 19'!$F5</f>
        <v>0</v>
      </c>
      <c r="G5" s="149">
        <f>'Jan 19'!$G5+'Feb 19'!$G5+'Mar 19'!$G5+'Apr 19'!$G5+'May 19'!$G5+'Jun 19'!$G5+'Jul 19'!$G5+'Aug 19'!$G5+'Sept 19'!$G5+'Oct 19'!$G5+'Nov 19'!$G5+'Dec 19'!$G5</f>
        <v>0</v>
      </c>
      <c r="H5" s="149">
        <f>'Jan 19'!$H5+'Feb 19'!$H5+'Mar 19'!$H5+'Apr 19'!$H5+'May 19'!$H5+'Jun 19'!$H5+'Jul 19'!$H5+'Aug 19'!$H5+'Sept 19'!$H5+'Oct 19'!$H5+'Nov 19'!$H5+'Dec 19'!$H5</f>
        <v>0</v>
      </c>
      <c r="I5" s="149">
        <f>'Jan 19'!$I5+'Feb 19'!$I5+'Mar 19'!$I5+'Apr 19'!$I5+'May 19'!$I5+'Jun 19'!$I5+'Jul 19'!$I5+'Aug 19'!$I5+'Sept 19'!$I5+'Oct 19'!$I5+'Nov 19'!$I5+'Dec 19'!$I5</f>
        <v>0</v>
      </c>
      <c r="J5" s="149">
        <f>'Jan 19'!$J5+'Feb 19'!$J5+'Mar 19'!$J5+'Apr 19'!$J5+'May 19'!$J5+'Jun 19'!$J5+'Jul 19'!$J5+'Aug 19'!$J5+'Sept 19'!$J5+'Oct 19'!$J5+'Nov 19'!$J5+'Dec 19'!$J5</f>
        <v>0</v>
      </c>
      <c r="K5" s="149">
        <f>'Jan 19'!$K5+'Feb 19'!$K5+'Mar 19'!$K5+'Apr 19'!$K5+'May 19'!$K5+'Jun 19'!$K5+'Jul 19'!$K5+'Aug 19'!$K5+'Sept 19'!$K5+'Oct 19'!$K5+'Nov 19'!$K5+'Dec 19'!$K5</f>
        <v>0</v>
      </c>
      <c r="L5" s="149">
        <f>'Jan 19'!$L5+'Feb 19'!$L5+'Mar 19'!$L5+'Apr 19'!$L5+'May 19'!$L5+'Jun 19'!$L5+'Jul 19'!$L5+'Aug 19'!$L5+'Sept 19'!$L5+'Oct 19'!$L5+'Nov 19'!$L5+'Dec 19'!$L5</f>
        <v>0</v>
      </c>
      <c r="M5" s="149">
        <f>'Jan 19'!$M5+'Feb 19'!$M5+'Mar 19'!$M5+'Apr 19'!$M5+'May 19'!$M5+'Jun 19'!$M5+'Jul 19'!$M5+'Aug 19'!$M5+'Sept 19'!$M5+'Oct 19'!$M5+'Nov 19'!$M5+'Dec 19'!$M5</f>
        <v>0</v>
      </c>
      <c r="N5" s="151">
        <f t="shared" si="0"/>
        <v>10559.86</v>
      </c>
    </row>
    <row r="6" spans="1:14" s="126" customFormat="1" ht="20.25" customHeight="1">
      <c r="A6" s="148" t="s">
        <v>11</v>
      </c>
      <c r="B6" s="149">
        <f>'Jan 19'!$B6+'Feb 19'!$B6+'Mar 19'!$B6+'Apr 19'!$B6+'May 19'!$B6+'Jun 19'!$B6+'Jul 19'!$B6+'Aug 19'!$B6+'Sept 19'!$B6+'Oct 19'!$B6+'Nov 19'!$B6+'Dec 19'!$B6</f>
        <v>5305.719999999999</v>
      </c>
      <c r="C6" s="149">
        <f>'Jan 19'!$C6+'Feb 19'!$C6+'Mar 19'!$C6+'Apr 19'!$C6+'May 19'!$C6+'Jun 19'!$C6+'Jul 19'!$C6+'Aug 19'!$C6+'Sept 19'!$C6+'Oct 19'!$C6+'Nov 19'!$C6+'Dec 19'!$C6</f>
        <v>17093.34</v>
      </c>
      <c r="D6" s="149">
        <f>'Jan 19'!$D6+'Feb 19'!$D6+'Mar 19'!$D6+'Apr 19'!$D6+'May 19'!$D6+'Jun 19'!$D6+'Jul 19'!$D6+'Aug 19'!$D6+'Sept 19'!$D6+'Oct 19'!$D6+'Nov 19'!$D6+'Dec 19'!$D6</f>
        <v>699.93</v>
      </c>
      <c r="E6" s="150">
        <f>'Jan 19'!$E6+'Feb 19'!$E6+'Mar 19'!$E6+'Apr 19'!$E6+'May 19'!$E6+'Jun 19'!$E6+'Jul 19'!$E6+'Aug 19'!$E6+'Sept 19'!$E6+'Oct 19'!$E6+'Nov 19'!$E6+'Dec 19'!$E6</f>
        <v>0</v>
      </c>
      <c r="F6" s="149">
        <f>'Jan 19'!$F6+'Feb 19'!$F6+'Mar 19'!$F6+'Apr 19'!$F6+'May 19'!$F6+'Jun 19'!$F6+'Jul 19'!$F6+'Aug 19'!$F6+'Sept 19'!$F6+'Oct 19'!$F6+'Nov 19'!$F6+'Dec 19'!$F6</f>
        <v>5651.040000000001</v>
      </c>
      <c r="G6" s="149">
        <f>'Jan 19'!$G6+'Feb 19'!$G6+'Mar 19'!$G6+'Apr 19'!$G6+'May 19'!$G6+'Jun 19'!$G6+'Jul 19'!$G6+'Aug 19'!$G6+'Sept 19'!$G6+'Oct 19'!$G6+'Nov 19'!$G6+'Dec 19'!$G6</f>
        <v>13062.86</v>
      </c>
      <c r="H6" s="149">
        <f>'Jan 19'!$H6+'Feb 19'!$H6+'Mar 19'!$H6+'Apr 19'!$H6+'May 19'!$H6+'Jun 19'!$H6+'Jul 19'!$H6+'Aug 19'!$H6+'Sept 19'!$H6+'Oct 19'!$H6+'Nov 19'!$H6+'Dec 19'!$H6</f>
        <v>0</v>
      </c>
      <c r="I6" s="149">
        <f>'Jan 19'!$I6+'Feb 19'!$I6+'Mar 19'!$I6+'Apr 19'!$I6+'May 19'!$I6+'Jun 19'!$I6+'Jul 19'!$I6+'Aug 19'!$I6+'Sept 19'!$I6+'Oct 19'!$I6+'Nov 19'!$I6+'Dec 19'!$I6</f>
        <v>10004.130000000001</v>
      </c>
      <c r="J6" s="149">
        <f>'Jan 19'!$J6+'Feb 19'!$J6+'Mar 19'!$J6+'Apr 19'!$J6+'May 19'!$J6+'Jun 19'!$J6+'Jul 19'!$J6+'Aug 19'!$J6+'Sept 19'!$J6+'Oct 19'!$J6+'Nov 19'!$J6+'Dec 19'!$J6</f>
        <v>0</v>
      </c>
      <c r="K6" s="149">
        <f>'Jan 19'!$K6+'Feb 19'!$K6+'Mar 19'!$K6+'Apr 19'!$K6+'May 19'!$K6+'Jun 19'!$K6+'Jul 19'!$K6+'Aug 19'!$K6+'Sept 19'!$K6+'Oct 19'!$K6+'Nov 19'!$K6+'Dec 19'!$K6</f>
        <v>0</v>
      </c>
      <c r="L6" s="149">
        <f>'Jan 19'!$L6+'Feb 19'!$L6+'Mar 19'!$L6+'Apr 19'!$L6+'May 19'!$L6+'Jun 19'!$L6+'Jul 19'!$L6+'Aug 19'!$L6+'Sept 19'!$L6+'Oct 19'!$L6+'Nov 19'!$L6+'Dec 19'!$L6</f>
        <v>545.05</v>
      </c>
      <c r="M6" s="149">
        <f>'Jan 19'!$M6+'Feb 19'!$M6+'Mar 19'!$M6+'Apr 19'!$M6+'May 19'!$M6+'Jun 19'!$M6+'Jul 19'!$M6+'Aug 19'!$M6+'Sept 19'!$M6+'Oct 19'!$M6+'Nov 19'!$M6+'Dec 19'!$M6</f>
        <v>0</v>
      </c>
      <c r="N6" s="151">
        <f t="shared" si="0"/>
        <v>52362.07000000001</v>
      </c>
    </row>
    <row r="7" spans="1:14" s="126" customFormat="1" ht="20.25" customHeight="1">
      <c r="A7" s="127" t="s">
        <v>12</v>
      </c>
      <c r="B7" s="149">
        <f>'Jan 19'!$B7+'Feb 19'!$B7+'Mar 19'!$B7+'Apr 19'!$B7+'May 19'!$B7+'Jun 19'!$B7+'Jul 19'!$B7+'Aug 19'!$B7+'Sept 19'!$B7+'Oct 19'!$B7+'Nov 19'!$B7+'Dec 19'!$B7</f>
        <v>7482.97</v>
      </c>
      <c r="C7" s="149">
        <f>'Jan 19'!$C7+'Feb 19'!$C7+'Mar 19'!$C7+'Apr 19'!$C7+'May 19'!$C7+'Jun 19'!$C7+'Jul 19'!$C7+'Aug 19'!$C7+'Sept 19'!$C7+'Oct 19'!$C7+'Nov 19'!$C7+'Dec 19'!$C7</f>
        <v>17093.34</v>
      </c>
      <c r="D7" s="149">
        <f>'Jan 19'!$D7+'Feb 19'!$D7+'Mar 19'!$D7+'Apr 19'!$D7+'May 19'!$D7+'Jun 19'!$D7+'Jul 19'!$D7+'Aug 19'!$D7+'Sept 19'!$D7+'Oct 19'!$D7+'Nov 19'!$D7+'Dec 19'!$D7</f>
        <v>0</v>
      </c>
      <c r="E7" s="150">
        <f>'Jan 19'!$E7+'Feb 19'!$E7+'Mar 19'!$E7+'Apr 19'!$E7+'May 19'!$E7+'Jun 19'!$E7+'Jul 19'!$E7+'Aug 19'!$E7+'Sept 19'!$E7+'Oct 19'!$E7+'Nov 19'!$E7+'Dec 19'!$E7</f>
        <v>7281.969999999999</v>
      </c>
      <c r="F7" s="149">
        <f>'Jan 19'!$F7+'Feb 19'!$F7+'Mar 19'!$F7+'Apr 19'!$F7+'May 19'!$F7+'Jun 19'!$F7+'Jul 19'!$F7+'Aug 19'!$F7+'Sept 19'!$F7+'Oct 19'!$F7+'Nov 19'!$F7+'Dec 19'!$F7</f>
        <v>5134.21</v>
      </c>
      <c r="G7" s="149">
        <f>'Jan 19'!$G7+'Feb 19'!$G7+'Mar 19'!$G7+'Apr 19'!$G7+'May 19'!$G7+'Jun 19'!$G7+'Jul 19'!$G7+'Aug 19'!$G7+'Sept 19'!$G7+'Oct 19'!$G7+'Nov 19'!$G7+'Dec 19'!$G7</f>
        <v>0</v>
      </c>
      <c r="H7" s="149">
        <f>'Jan 19'!$H7+'Feb 19'!$H7+'Mar 19'!$H7+'Apr 19'!$H7+'May 19'!$H7+'Jun 19'!$H7+'Jul 19'!$H7+'Aug 19'!$H7+'Sept 19'!$H7+'Oct 19'!$H7+'Nov 19'!$H7+'Dec 19'!$H7</f>
        <v>2529.78</v>
      </c>
      <c r="I7" s="149">
        <f>'Jan 19'!$I7+'Feb 19'!$I7+'Mar 19'!$I7+'Apr 19'!$I7+'May 19'!$I7+'Jun 19'!$I7+'Jul 19'!$I7+'Aug 19'!$I7+'Sept 19'!$I7+'Oct 19'!$I7+'Nov 19'!$I7+'Dec 19'!$I7</f>
        <v>0</v>
      </c>
      <c r="J7" s="149">
        <f>'Jan 19'!$J7+'Feb 19'!$J7+'Mar 19'!$J7+'Apr 19'!$J7+'May 19'!$J7+'Jun 19'!$J7+'Jul 19'!$J7+'Aug 19'!$J7+'Sept 19'!$J7+'Oct 19'!$J7+'Nov 19'!$J7+'Dec 19'!$J7</f>
        <v>206.98</v>
      </c>
      <c r="K7" s="149">
        <f>'Jan 19'!$K7+'Feb 19'!$K7+'Mar 19'!$K7+'Apr 19'!$K7+'May 19'!$K7+'Jun 19'!$K7+'Jul 19'!$K7+'Aug 19'!$K7+'Sept 19'!$K7+'Oct 19'!$K7+'Nov 19'!$K7+'Dec 19'!$K7</f>
        <v>300</v>
      </c>
      <c r="L7" s="149">
        <f>'Jan 19'!$L7+'Feb 19'!$L7+'Mar 19'!$L7+'Apr 19'!$L7+'May 19'!$L7+'Jun 19'!$L7+'Jul 19'!$L7+'Aug 19'!$L7+'Sept 19'!$L7+'Oct 19'!$L7+'Nov 19'!$L7+'Dec 19'!$L7</f>
        <v>326.46</v>
      </c>
      <c r="M7" s="149">
        <f>'Jan 19'!$M7+'Feb 19'!$M7+'Mar 19'!$M7+'Apr 19'!$M7+'May 19'!$M7+'Jun 19'!$M7+'Jul 19'!$M7+'Aug 19'!$M7+'Sept 19'!$M7+'Oct 19'!$M7+'Nov 19'!$M7+'Dec 19'!$M7</f>
        <v>0</v>
      </c>
      <c r="N7" s="151">
        <f t="shared" si="0"/>
        <v>40355.71</v>
      </c>
    </row>
    <row r="8" spans="1:14" s="126" customFormat="1" ht="20.25" customHeight="1">
      <c r="A8" s="127" t="s">
        <v>85</v>
      </c>
      <c r="B8" s="149">
        <f>'Jan 19'!$B8+'Feb 19'!$B8+'Mar 19'!$B8+'Apr 19'!$B8+'May 19'!$B8+'Jun 19'!$B8+'Jul 19'!$B8+'Aug 19'!$B8+'Sept 19'!$B8+'Oct 19'!$B8+'Nov 19'!$B8+'Dec 19'!$B8</f>
        <v>5270.719999999999</v>
      </c>
      <c r="C8" s="149">
        <f>'Jan 19'!$C8+'Feb 19'!$C8+'Mar 19'!$C8+'Apr 19'!$C8+'May 19'!$C8+'Jun 19'!$C8+'Jul 19'!$C8+'Aug 19'!$C8+'Sept 19'!$C8+'Oct 19'!$C8+'Nov 19'!$C8+'Dec 19'!$C8</f>
        <v>17093.34</v>
      </c>
      <c r="D8" s="149">
        <f>'Jan 19'!$D8+'Feb 19'!$D8+'Mar 19'!$D8+'Apr 19'!$D8+'May 19'!$D8+'Jun 19'!$D8+'Jul 19'!$D8+'Aug 19'!$D8+'Sept 19'!$D8+'Oct 19'!$D8+'Nov 19'!$D8+'Dec 19'!$D8</f>
        <v>0</v>
      </c>
      <c r="E8" s="150">
        <f>'Jan 19'!$E8+'Feb 19'!$E8+'Mar 19'!$E8+'Apr 19'!$E8+'May 19'!$E8+'Jun 19'!$E8+'Jul 19'!$E8+'Aug 19'!$E8+'Sept 19'!$E8+'Oct 19'!$E8+'Nov 19'!$E8+'Dec 19'!$E8</f>
        <v>0</v>
      </c>
      <c r="F8" s="149">
        <f>'Jan 19'!$F8+'Feb 19'!$F8+'Mar 19'!$F8+'Apr 19'!$F8+'May 19'!$F8+'Jun 19'!$F8+'Jul 19'!$F8+'Aug 19'!$F8+'Sept 19'!$F8+'Oct 19'!$F8+'Nov 19'!$F8+'Dec 19'!$F8</f>
        <v>0</v>
      </c>
      <c r="G8" s="149">
        <f>'Jan 19'!$G8+'Feb 19'!$G8+'Mar 19'!$G8+'Apr 19'!$G8+'May 19'!$G8+'Jun 19'!$G8+'Jul 19'!$G8+'Aug 19'!$G8+'Sept 19'!$G8+'Oct 19'!$G8+'Nov 19'!$G8+'Dec 19'!$G8</f>
        <v>0</v>
      </c>
      <c r="H8" s="149">
        <f>'Jan 19'!$H8+'Feb 19'!$H8+'Mar 19'!$H8+'Apr 19'!$H8+'May 19'!$H8+'Jun 19'!$H8+'Jul 19'!$H8+'Aug 19'!$H8+'Sept 19'!$H8+'Oct 19'!$H8+'Nov 19'!$H8+'Dec 19'!$H8</f>
        <v>0</v>
      </c>
      <c r="I8" s="149">
        <f>'Jan 19'!$I8+'Feb 19'!$I8+'Mar 19'!$I8+'Apr 19'!$I8+'May 19'!$I8+'Jun 19'!$I8+'Jul 19'!$I8+'Aug 19'!$I8+'Sept 19'!$I8+'Oct 19'!$I8+'Nov 19'!$I8+'Dec 19'!$I8</f>
        <v>0</v>
      </c>
      <c r="J8" s="149">
        <f>'Jan 19'!$J8+'Feb 19'!$J8+'Mar 19'!$J8+'Apr 19'!$J8+'May 19'!$J8+'Jun 19'!$J8+'Jul 19'!$J8+'Aug 19'!$J8+'Sept 19'!$J8+'Oct 19'!$J8+'Nov 19'!$J8+'Dec 19'!$J8</f>
        <v>0</v>
      </c>
      <c r="K8" s="149">
        <f>'Jan 19'!$K8+'Feb 19'!$K8+'Mar 19'!$K8+'Apr 19'!$K8+'May 19'!$K8+'Jun 19'!$K8+'Jul 19'!$K8+'Aug 19'!$K8+'Sept 19'!$K8+'Oct 19'!$K8+'Nov 19'!$K8+'Dec 19'!$K8</f>
        <v>0</v>
      </c>
      <c r="L8" s="149">
        <f>'Jan 19'!$L8+'Feb 19'!$L8+'Mar 19'!$L8+'Apr 19'!$L8+'May 19'!$L8+'Jun 19'!$L8+'Jul 19'!$L8+'Aug 19'!$L8+'Sept 19'!$L8+'Oct 19'!$L8+'Nov 19'!$L8+'Dec 19'!$L8</f>
        <v>0</v>
      </c>
      <c r="M8" s="149">
        <f>'Jan 19'!$M8+'Feb 19'!$M8+'Mar 19'!$M8+'Apr 19'!$M8+'May 19'!$M8+'Jun 19'!$M8+'Jul 19'!$M8+'Aug 19'!$M8+'Sept 19'!$M8+'Oct 19'!$M8+'Nov 19'!$M8+'Dec 19'!$M8</f>
        <v>0</v>
      </c>
      <c r="N8" s="151">
        <f t="shared" si="0"/>
        <v>22364.059999999998</v>
      </c>
    </row>
    <row r="9" spans="1:14" s="126" customFormat="1" ht="20.25" customHeight="1">
      <c r="A9" s="148" t="s">
        <v>86</v>
      </c>
      <c r="B9" s="149">
        <f>'Jan 19'!$B9+'Feb 19'!$B9+'Mar 19'!$B9+'Apr 19'!$B9+'May 19'!$B9+'Jun 19'!$B9+'Jul 19'!$B9+'Aug 19'!$B9+'Sept 19'!$B9+'Oct 19'!$B9+'Nov 19'!$B9+'Dec 19'!$B9</f>
        <v>1385.49</v>
      </c>
      <c r="C9" s="149">
        <f>'Jan 19'!$C9+'Feb 19'!$C9+'Mar 19'!$C9+'Apr 19'!$C9+'May 19'!$C9+'Jun 19'!$C9+'Jul 19'!$C9+'Aug 19'!$C9+'Sept 19'!$C9+'Oct 19'!$C9+'Nov 19'!$C9+'Dec 19'!$C9</f>
        <v>7519.959999999999</v>
      </c>
      <c r="D9" s="149">
        <f>'Jan 19'!$D9+'Feb 19'!$D9+'Mar 19'!$D9+'Apr 19'!$D9+'May 19'!$D9+'Jun 19'!$D9+'Jul 19'!$D9+'Aug 19'!$D9+'Sept 19'!$D9+'Oct 19'!$D9+'Nov 19'!$D9+'Dec 19'!$D9</f>
        <v>0</v>
      </c>
      <c r="E9" s="150">
        <f>'Jan 19'!$E9+'Feb 19'!$E9+'Mar 19'!$E9+'Apr 19'!$E9+'May 19'!$E9+'Jun 19'!$E9+'Jul 19'!$E9+'Aug 19'!$E9+'Sept 19'!$E9+'Oct 19'!$E9+'Nov 19'!$E9+'Dec 19'!$E9</f>
        <v>0</v>
      </c>
      <c r="F9" s="149">
        <f>'Jan 19'!$F9+'Feb 19'!$F9+'Mar 19'!$F9+'Apr 19'!$F9+'May 19'!$F9+'Jun 19'!$F9+'Jul 19'!$F9+'Aug 19'!$F9+'Sept 19'!$F9+'Oct 19'!$F9+'Nov 19'!$F9+'Dec 19'!$F9</f>
        <v>2293.19</v>
      </c>
      <c r="G9" s="149">
        <f>'Jan 19'!$G9+'Feb 19'!$G9+'Mar 19'!$G9+'Apr 19'!$G9+'May 19'!$G9+'Jun 19'!$G9+'Jul 19'!$G9+'Aug 19'!$G9+'Sept 19'!$G9+'Oct 19'!$G9+'Nov 19'!$G9+'Dec 19'!$G9</f>
        <v>0</v>
      </c>
      <c r="H9" s="149">
        <f>'Jan 19'!$H9+'Feb 19'!$H9+'Mar 19'!$H9+'Apr 19'!$H9+'May 19'!$H9+'Jun 19'!$H9+'Jul 19'!$H9+'Aug 19'!$H9+'Sept 19'!$H9+'Oct 19'!$H9+'Nov 19'!$H9+'Dec 19'!$H9</f>
        <v>0</v>
      </c>
      <c r="I9" s="149">
        <f>'Jan 19'!$I9+'Feb 19'!$I9+'Mar 19'!$I9+'Apr 19'!$I9+'May 19'!$I9+'Jun 19'!$I9+'Jul 19'!$I9+'Aug 19'!$I9+'Sept 19'!$I9+'Oct 19'!$I9+'Nov 19'!$I9+'Dec 19'!$I9</f>
        <v>0</v>
      </c>
      <c r="J9" s="149">
        <f>'Jan 19'!$J9+'Feb 19'!$J9+'Mar 19'!$J9+'Apr 19'!$J9+'May 19'!$J9+'Jun 19'!$J9+'Jul 19'!$J9+'Aug 19'!$J9+'Sept 19'!$J9+'Oct 19'!$J9+'Nov 19'!$J9+'Dec 19'!$J9</f>
        <v>0</v>
      </c>
      <c r="K9" s="149">
        <f>'Jan 19'!$K9+'Feb 19'!$K9+'Mar 19'!$K9+'Apr 19'!$K9+'May 19'!$K9+'Jun 19'!$K9+'Jul 19'!$K9+'Aug 19'!$K9+'Sept 19'!$K9+'Oct 19'!$K9+'Nov 19'!$K9+'Dec 19'!$K9</f>
        <v>0</v>
      </c>
      <c r="L9" s="149">
        <f>'Jan 19'!$L9+'Feb 19'!$L9+'Mar 19'!$L9+'Apr 19'!$L9+'May 19'!$L9+'Jun 19'!$L9+'Jul 19'!$L9+'Aug 19'!$L9+'Sept 19'!$L9+'Oct 19'!$L9+'Nov 19'!$L9+'Dec 19'!$L9</f>
        <v>0</v>
      </c>
      <c r="M9" s="149">
        <f>'Jan 19'!$M9+'Feb 19'!$M9+'Mar 19'!$M9+'Apr 19'!$M9+'May 19'!$M9+'Jun 19'!$M9+'Jul 19'!$M9+'Aug 19'!$M9+'Sept 19'!$M9+'Oct 19'!$M9+'Nov 19'!$M9+'Dec 19'!$M9</f>
        <v>2500</v>
      </c>
      <c r="N9" s="151">
        <f t="shared" si="0"/>
        <v>13698.64</v>
      </c>
    </row>
    <row r="10" spans="1:14" s="126" customFormat="1" ht="20.25" customHeight="1">
      <c r="A10" s="127" t="s">
        <v>14</v>
      </c>
      <c r="B10" s="149">
        <f>'Jan 19'!$B10+'Feb 19'!$B10+'Mar 19'!$B10+'Apr 19'!$B10+'May 19'!$B10+'Jun 19'!$B10+'Jul 19'!$B10+'Aug 19'!$B10+'Sept 19'!$B10+'Oct 19'!$B10+'Nov 19'!$B10+'Dec 19'!$B10</f>
        <v>4702.7</v>
      </c>
      <c r="C10" s="149">
        <f>'Jan 19'!$C10+'Feb 19'!$C10+'Mar 19'!$C10+'Apr 19'!$C10+'May 19'!$C10+'Jun 19'!$C10+'Jul 19'!$C10+'Aug 19'!$C10+'Sept 19'!$C10+'Oct 19'!$C10+'Nov 19'!$C10+'Dec 19'!$C10</f>
        <v>17093.34</v>
      </c>
      <c r="D10" s="149">
        <f>'Jan 19'!$D10+'Feb 19'!$D10+'Mar 19'!$D10+'Apr 19'!$D10+'May 19'!$D10+'Jun 19'!$D10+'Jul 19'!$D10+'Aug 19'!$D10+'Sept 19'!$D10+'Oct 19'!$D10+'Nov 19'!$D10+'Dec 19'!$D10</f>
        <v>0</v>
      </c>
      <c r="E10" s="150">
        <f>'Jan 19'!$E10+'Feb 19'!$E10+'Mar 19'!$E10+'Apr 19'!$E10+'May 19'!$E10+'Jun 19'!$E10+'Jul 19'!$E10+'Aug 19'!$E10+'Sept 19'!$E10+'Oct 19'!$E10+'Nov 19'!$E10+'Dec 19'!$E10</f>
        <v>1082.18</v>
      </c>
      <c r="F10" s="149">
        <f>'Jan 19'!$F10+'Feb 19'!$F10+'Mar 19'!$F10+'Apr 19'!$F10+'May 19'!$F10+'Jun 19'!$F10+'Jul 19'!$F10+'Aug 19'!$F10+'Sept 19'!$F10+'Oct 19'!$F10+'Nov 19'!$F10+'Dec 19'!$F10</f>
        <v>0</v>
      </c>
      <c r="G10" s="149">
        <f>'Jan 19'!$G10+'Feb 19'!$G10+'Mar 19'!$G10+'Apr 19'!$G10+'May 19'!$G10+'Jun 19'!$G10+'Jul 19'!$G10+'Aug 19'!$G10+'Sept 19'!$G10+'Oct 19'!$G10+'Nov 19'!$G10+'Dec 19'!$G10</f>
        <v>0</v>
      </c>
      <c r="H10" s="149">
        <f>'Jan 19'!$H10+'Feb 19'!$H10+'Mar 19'!$H10+'Apr 19'!$H10+'May 19'!$H10+'Jun 19'!$H10+'Jul 19'!$H10+'Aug 19'!$H10+'Sept 19'!$H10+'Oct 19'!$H10+'Nov 19'!$H10+'Dec 19'!$H10</f>
        <v>0</v>
      </c>
      <c r="I10" s="149">
        <f>'Jan 19'!$I10+'Feb 19'!$I10+'Mar 19'!$I10+'Apr 19'!$I10+'May 19'!$I10+'Jun 19'!$I10+'Jul 19'!$I10+'Aug 19'!$I10+'Sept 19'!$I10+'Oct 19'!$I10+'Nov 19'!$I10+'Dec 19'!$I10</f>
        <v>0</v>
      </c>
      <c r="J10" s="149">
        <f>'Jan 19'!$J10+'Feb 19'!$J10+'Mar 19'!$J10+'Apr 19'!$J10+'May 19'!$J10+'Jun 19'!$J10+'Jul 19'!$J10+'Aug 19'!$J10+'Sept 19'!$J10+'Oct 19'!$J10+'Nov 19'!$J10+'Dec 19'!$J10</f>
        <v>0</v>
      </c>
      <c r="K10" s="149">
        <f>'Jan 19'!$K10+'Feb 19'!$K10+'Mar 19'!$K10+'Apr 19'!$K10+'May 19'!$K10+'Jun 19'!$K10+'Jul 19'!$K10+'Aug 19'!$K10+'Sept 19'!$K10+'Oct 19'!$K10+'Nov 19'!$K10+'Dec 19'!$K10</f>
        <v>275</v>
      </c>
      <c r="L10" s="149">
        <f>'Jan 19'!$L10+'Feb 19'!$L10+'Mar 19'!$L10+'Apr 19'!$L10+'May 19'!$L10+'Jun 19'!$L10+'Jul 19'!$L10+'Aug 19'!$L10+'Sept 19'!$L10+'Oct 19'!$L10+'Nov 19'!$L10+'Dec 19'!$L10</f>
        <v>467.37</v>
      </c>
      <c r="M10" s="149">
        <f>'Jan 19'!$M10+'Feb 19'!$M10+'Mar 19'!$M10+'Apr 19'!$M10+'May 19'!$M10+'Jun 19'!$M10+'Jul 19'!$M10+'Aug 19'!$M10+'Sept 19'!$M10+'Oct 19'!$M10+'Nov 19'!$M10+'Dec 19'!$M10</f>
        <v>2500</v>
      </c>
      <c r="N10" s="151">
        <f t="shared" si="0"/>
        <v>26120.59</v>
      </c>
    </row>
    <row r="11" spans="1:14" s="126" customFormat="1" ht="20.25" customHeight="1">
      <c r="A11" s="148" t="s">
        <v>15</v>
      </c>
      <c r="B11" s="149">
        <f>'Jan 19'!$B11+'Feb 19'!$B11+'Mar 19'!$B11+'Apr 19'!$B11+'May 19'!$B11+'Jun 19'!$B11+'Jul 19'!$B11+'Aug 19'!$B11+'Sept 19'!$B11+'Oct 19'!$B11+'Nov 19'!$B11+'Dec 19'!$B11</f>
        <v>6803.550000000001</v>
      </c>
      <c r="C11" s="149">
        <f>'Jan 19'!$C11+'Feb 19'!$C11+'Mar 19'!$C11+'Apr 19'!$C11+'May 19'!$C11+'Jun 19'!$C11+'Jul 19'!$C11+'Aug 19'!$C11+'Sept 19'!$C11+'Oct 19'!$C11+'Nov 19'!$C11+'Dec 19'!$C11</f>
        <v>17093.34</v>
      </c>
      <c r="D11" s="149">
        <f>'Jan 19'!$D11+'Feb 19'!$D11+'Mar 19'!$D11+'Apr 19'!$D11+'May 19'!$D11+'Jun 19'!$D11+'Jul 19'!$D11+'Aug 19'!$D11+'Sept 19'!$D11+'Oct 19'!$D11+'Nov 19'!$D11+'Dec 19'!$D11</f>
        <v>517.86</v>
      </c>
      <c r="E11" s="150">
        <f>'Jan 19'!$E11+'Feb 19'!$E11+'Mar 19'!$E11+'Apr 19'!$E11+'May 19'!$E11+'Jun 19'!$E11+'Jul 19'!$E11+'Aug 19'!$E11+'Sept 19'!$E11+'Oct 19'!$E11+'Nov 19'!$E11+'Dec 19'!$E11</f>
        <v>2252.91</v>
      </c>
      <c r="F11" s="149">
        <f>'Jan 19'!$F11+'Feb 19'!$F11+'Mar 19'!$F11+'Apr 19'!$F11+'May 19'!$F11+'Jun 19'!$F11+'Jul 19'!$F11+'Aug 19'!$F11+'Sept 19'!$F11+'Oct 19'!$F11+'Nov 19'!$F11+'Dec 19'!$F11</f>
        <v>0</v>
      </c>
      <c r="G11" s="149">
        <f>'Jan 19'!$G11+'Feb 19'!$G11+'Mar 19'!$G11+'Apr 19'!$G11+'May 19'!$G11+'Jun 19'!$G11+'Jul 19'!$G11+'Aug 19'!$G11+'Sept 19'!$G11+'Oct 19'!$G11+'Nov 19'!$G11+'Dec 19'!$G11</f>
        <v>0</v>
      </c>
      <c r="H11" s="149">
        <f>'Jan 19'!$H11+'Feb 19'!$H11+'Mar 19'!$H11+'Apr 19'!$H11+'May 19'!$H11+'Jun 19'!$H11+'Jul 19'!$H11+'Aug 19'!$H11+'Sept 19'!$H11+'Oct 19'!$H11+'Nov 19'!$H11+'Dec 19'!$H11</f>
        <v>0</v>
      </c>
      <c r="I11" s="149">
        <f>'Jan 19'!$I11+'Feb 19'!$I11+'Mar 19'!$I11+'Apr 19'!$I11+'May 19'!$I11+'Jun 19'!$I11+'Jul 19'!$I11+'Aug 19'!$I11+'Sept 19'!$I11+'Oct 19'!$I11+'Nov 19'!$I11+'Dec 19'!$I11</f>
        <v>0</v>
      </c>
      <c r="J11" s="149">
        <f>'Jan 19'!$J11+'Feb 19'!$J11+'Mar 19'!$J11+'Apr 19'!$J11+'May 19'!$J11+'Jun 19'!$J11+'Jul 19'!$J11+'Aug 19'!$J11+'Sept 19'!$J11+'Oct 19'!$J11+'Nov 19'!$J11+'Dec 19'!$J11</f>
        <v>3150.73</v>
      </c>
      <c r="K11" s="149">
        <f>'Jan 19'!$K11+'Feb 19'!$K11+'Mar 19'!$K11+'Apr 19'!$K11+'May 19'!$K11+'Jun 19'!$K11+'Jul 19'!$K11+'Aug 19'!$K11+'Sept 19'!$K11+'Oct 19'!$K11+'Nov 19'!$K11+'Dec 19'!$K11</f>
        <v>0</v>
      </c>
      <c r="L11" s="149">
        <f>'Jan 19'!$L11+'Feb 19'!$L11+'Mar 19'!$L11+'Apr 19'!$L11+'May 19'!$L11+'Jun 19'!$L11+'Jul 19'!$L11+'Aug 19'!$L11+'Sept 19'!$L11+'Oct 19'!$L11+'Nov 19'!$L11+'Dec 19'!$L11</f>
        <v>87.85</v>
      </c>
      <c r="M11" s="149">
        <f>'Jan 19'!$M11+'Feb 19'!$M11+'Mar 19'!$M11+'Apr 19'!$M11+'May 19'!$M11+'Jun 19'!$M11+'Jul 19'!$M11+'Aug 19'!$M11+'Sept 19'!$M11+'Oct 19'!$M11+'Nov 19'!$M11+'Dec 19'!$M11</f>
        <v>0</v>
      </c>
      <c r="N11" s="151">
        <f t="shared" si="0"/>
        <v>29906.239999999998</v>
      </c>
    </row>
    <row r="12" spans="1:14" s="126" customFormat="1" ht="20.25" customHeight="1">
      <c r="A12" s="127" t="s">
        <v>16</v>
      </c>
      <c r="B12" s="149">
        <f>'Jan 19'!$B12+'Feb 19'!$B12+'Mar 19'!$B12+'Apr 19'!$B12+'May 19'!$B12+'Jun 19'!$B12+'Jul 19'!$B12+'Aug 19'!$B12+'Sept 19'!$B12+'Oct 19'!$B12+'Nov 19'!$B12+'Dec 19'!$B12</f>
        <v>8481.75</v>
      </c>
      <c r="C12" s="149">
        <f>'Jan 19'!$C12+'Feb 19'!$C12+'Mar 19'!$C12+'Apr 19'!$C12+'May 19'!$C12+'Jun 19'!$C12+'Jul 19'!$C12+'Aug 19'!$C12+'Sept 19'!$C12+'Oct 19'!$C12+'Nov 19'!$C12+'Dec 19'!$C12</f>
        <v>17093.34</v>
      </c>
      <c r="D12" s="149">
        <f>'Jan 19'!$D12+'Feb 19'!$D12+'Mar 19'!$D12+'Apr 19'!$D12+'May 19'!$D12+'Jun 19'!$D12+'Jul 19'!$D12+'Aug 19'!$D12+'Sept 19'!$D12+'Oct 19'!$D12+'Nov 19'!$D12+'Dec 19'!$D12</f>
        <v>599.78</v>
      </c>
      <c r="E12" s="150">
        <f>'Jan 19'!$E12+'Feb 19'!$E12+'Mar 19'!$E12+'Apr 19'!$E12+'May 19'!$E12+'Jun 19'!$E12+'Jul 19'!$E12+'Aug 19'!$E12+'Sept 19'!$E12+'Oct 19'!$E12+'Nov 19'!$E12+'Dec 19'!$E12</f>
        <v>2811.2</v>
      </c>
      <c r="F12" s="149">
        <f>'Jan 19'!$F12+'Feb 19'!$F12+'Mar 19'!$F12+'Apr 19'!$F12+'May 19'!$F12+'Jun 19'!$F12+'Jul 19'!$F12+'Aug 19'!$F12+'Sept 19'!$F12+'Oct 19'!$F12+'Nov 19'!$F12+'Dec 19'!$F12</f>
        <v>0</v>
      </c>
      <c r="G12" s="149">
        <f>'Jan 19'!$G12+'Feb 19'!$G12+'Mar 19'!$G12+'Apr 19'!$G12+'May 19'!$G12+'Jun 19'!$G12+'Jul 19'!$G12+'Aug 19'!$G12+'Sept 19'!$G12+'Oct 19'!$G12+'Nov 19'!$G12+'Dec 19'!$G12</f>
        <v>0</v>
      </c>
      <c r="H12" s="149">
        <f>'Jan 19'!$H12+'Feb 19'!$H12+'Mar 19'!$H12+'Apr 19'!$H12+'May 19'!$H12+'Jun 19'!$H12+'Jul 19'!$H12+'Aug 19'!$H12+'Sept 19'!$H12+'Oct 19'!$H12+'Nov 19'!$H12+'Dec 19'!$H12</f>
        <v>0</v>
      </c>
      <c r="I12" s="149">
        <f>'Jan 19'!$I12+'Feb 19'!$I12+'Mar 19'!$I12+'Apr 19'!$I12+'May 19'!$I12+'Jun 19'!$I12+'Jul 19'!$I12+'Aug 19'!$I12+'Sept 19'!$I12+'Oct 19'!$I12+'Nov 19'!$I12+'Dec 19'!$I12</f>
        <v>0</v>
      </c>
      <c r="J12" s="149">
        <f>'Jan 19'!$J12+'Feb 19'!$J12+'Mar 19'!$J12+'Apr 19'!$J12+'May 19'!$J12+'Jun 19'!$J12+'Jul 19'!$J12+'Aug 19'!$J12+'Sept 19'!$J12+'Oct 19'!$J12+'Nov 19'!$J12+'Dec 19'!$J12</f>
        <v>0</v>
      </c>
      <c r="K12" s="149">
        <f>'Jan 19'!$K12+'Feb 19'!$K12+'Mar 19'!$K12+'Apr 19'!$K12+'May 19'!$K12+'Jun 19'!$K12+'Jul 19'!$K12+'Aug 19'!$K12+'Sept 19'!$K12+'Oct 19'!$K12+'Nov 19'!$K12+'Dec 19'!$K12</f>
        <v>150</v>
      </c>
      <c r="L12" s="149">
        <f>'Jan 19'!$L12+'Feb 19'!$L12+'Mar 19'!$L12+'Apr 19'!$L12+'May 19'!$L12+'Jun 19'!$L12+'Jul 19'!$L12+'Aug 19'!$L12+'Sept 19'!$L12+'Oct 19'!$L12+'Nov 19'!$L12+'Dec 19'!$L12</f>
        <v>266.72</v>
      </c>
      <c r="M12" s="149">
        <f>'Jan 19'!$M12+'Feb 19'!$M12+'Mar 19'!$M12+'Apr 19'!$M12+'May 19'!$M12+'Jun 19'!$M12+'Jul 19'!$M12+'Aug 19'!$M12+'Sept 19'!$M12+'Oct 19'!$M12+'Nov 19'!$M12+'Dec 19'!$M12</f>
        <v>0</v>
      </c>
      <c r="N12" s="151">
        <f t="shared" si="0"/>
        <v>29402.79</v>
      </c>
    </row>
    <row r="13" spans="1:14" s="126" customFormat="1" ht="20.25" customHeight="1">
      <c r="A13" s="148" t="s">
        <v>17</v>
      </c>
      <c r="B13" s="149">
        <f>'Jan 19'!$B13+'Feb 19'!$B13+'Mar 19'!$B13+'Apr 19'!$B13+'May 19'!$B13+'Jun 19'!$B13+'Jul 19'!$B13+'Aug 19'!$B13+'Sept 19'!$B13+'Oct 19'!$B13+'Nov 19'!$B13+'Dec 19'!$B13</f>
        <v>8613.49</v>
      </c>
      <c r="C13" s="149">
        <f>'Jan 19'!$C13+'Feb 19'!$C13+'Mar 19'!$C13+'Apr 19'!$C13+'May 19'!$C13+'Jun 19'!$C13+'Jul 19'!$C13+'Aug 19'!$C13+'Sept 19'!$C13+'Oct 19'!$C13+'Nov 19'!$C13+'Dec 19'!$C13</f>
        <v>17093.34</v>
      </c>
      <c r="D13" s="149">
        <f>'Jan 19'!$D13+'Feb 19'!$D13+'Mar 19'!$D13+'Apr 19'!$D13+'May 19'!$D13+'Jun 19'!$D13+'Jul 19'!$D13+'Aug 19'!$D13+'Sept 19'!$D13+'Oct 19'!$D13+'Nov 19'!$D13+'Dec 19'!$D13</f>
        <v>599.53</v>
      </c>
      <c r="E13" s="150">
        <f>'Jan 19'!$E13+'Feb 19'!$E13+'Mar 19'!$E13+'Apr 19'!$E13+'May 19'!$E13+'Jun 19'!$E13+'Jul 19'!$E13+'Aug 19'!$E13+'Sept 19'!$E13+'Oct 19'!$E13+'Nov 19'!$E13+'Dec 19'!$E13</f>
        <v>6116.15</v>
      </c>
      <c r="F13" s="149">
        <f>'Jan 19'!$F13+'Feb 19'!$F13+'Mar 19'!$F13+'Apr 19'!$F13+'May 19'!$F13+'Jun 19'!$F13+'Jul 19'!$F13+'Aug 19'!$F13+'Sept 19'!$F13+'Oct 19'!$F13+'Nov 19'!$F13+'Dec 19'!$F13</f>
        <v>2298.51</v>
      </c>
      <c r="G13" s="149">
        <f>'Jan 19'!$G13+'Feb 19'!$G13+'Mar 19'!$G13+'Apr 19'!$G13+'May 19'!$G13+'Jun 19'!$G13+'Jul 19'!$G13+'Aug 19'!$G13+'Sept 19'!$G13+'Oct 19'!$G13+'Nov 19'!$G13+'Dec 19'!$G13</f>
        <v>0</v>
      </c>
      <c r="H13" s="149">
        <f>'Jan 19'!$H13+'Feb 19'!$H13+'Mar 19'!$H13+'Apr 19'!$H13+'May 19'!$H13+'Jun 19'!$H13+'Jul 19'!$H13+'Aug 19'!$H13+'Sept 19'!$H13+'Oct 19'!$H13+'Nov 19'!$H13+'Dec 19'!$H13</f>
        <v>0</v>
      </c>
      <c r="I13" s="149">
        <f>'Jan 19'!$I13+'Feb 19'!$I13+'Mar 19'!$I13+'Apr 19'!$I13+'May 19'!$I13+'Jun 19'!$I13+'Jul 19'!$I13+'Aug 19'!$I13+'Sept 19'!$I13+'Oct 19'!$I13+'Nov 19'!$I13+'Dec 19'!$I13</f>
        <v>0</v>
      </c>
      <c r="J13" s="149">
        <f>'Jan 19'!$J13+'Feb 19'!$J13+'Mar 19'!$J13+'Apr 19'!$J13+'May 19'!$J13+'Jun 19'!$J13+'Jul 19'!$J13+'Aug 19'!$J13+'Sept 19'!$J13+'Oct 19'!$J13+'Nov 19'!$J13+'Dec 19'!$J13</f>
        <v>0</v>
      </c>
      <c r="K13" s="149">
        <f>'Jan 19'!$K13+'Feb 19'!$K13+'Mar 19'!$K13+'Apr 19'!$K13+'May 19'!$K13+'Jun 19'!$K13+'Jul 19'!$K13+'Aug 19'!$K13+'Sept 19'!$K13+'Oct 19'!$K13+'Nov 19'!$K13+'Dec 19'!$K13</f>
        <v>0</v>
      </c>
      <c r="L13" s="149">
        <f>'Jan 19'!$L13+'Feb 19'!$L13+'Mar 19'!$L13+'Apr 19'!$L13+'May 19'!$L13+'Jun 19'!$L13+'Jul 19'!$L13+'Aug 19'!$L13+'Sept 19'!$L13+'Oct 19'!$L13+'Nov 19'!$L13+'Dec 19'!$L13</f>
        <v>394.06</v>
      </c>
      <c r="M13" s="149">
        <f>'Jan 19'!$M13+'Feb 19'!$M13+'Mar 19'!$M13+'Apr 19'!$M13+'May 19'!$M13+'Jun 19'!$M13+'Jul 19'!$M13+'Aug 19'!$M13+'Sept 19'!$M13+'Oct 19'!$M13+'Nov 19'!$M13+'Dec 19'!$M13</f>
        <v>0</v>
      </c>
      <c r="N13" s="151">
        <f t="shared" si="0"/>
        <v>35115.08</v>
      </c>
    </row>
    <row r="14" spans="1:14" s="126" customFormat="1" ht="20.25" customHeight="1">
      <c r="A14" s="127" t="s">
        <v>18</v>
      </c>
      <c r="B14" s="149">
        <f>'Jan 19'!$B14+'Feb 19'!$B14+'Mar 19'!$B14+'Apr 19'!$B14+'May 19'!$B14+'Jun 19'!$B14+'Jul 19'!$B14+'Aug 19'!$B14+'Sept 19'!$B14+'Oct 19'!$B14+'Nov 19'!$B14+'Dec 19'!$B14</f>
        <v>2173.85</v>
      </c>
      <c r="C14" s="149">
        <f>'Jan 19'!$C14+'Feb 19'!$C14+'Mar 19'!$C14+'Apr 19'!$C14+'May 19'!$C14+'Jun 19'!$C14+'Jul 19'!$C14+'Aug 19'!$C14+'Sept 19'!$C14+'Oct 19'!$C14+'Nov 19'!$C14+'Dec 19'!$C14</f>
        <v>7519.959999999999</v>
      </c>
      <c r="D14" s="149">
        <f>'Jan 19'!$D14+'Feb 19'!$D14+'Mar 19'!$D14+'Apr 19'!$D14+'May 19'!$D14+'Jun 19'!$D14+'Jul 19'!$D14+'Aug 19'!$D14+'Sept 19'!$D14+'Oct 19'!$D14+'Nov 19'!$D14+'Dec 19'!$D14</f>
        <v>312.93</v>
      </c>
      <c r="E14" s="150">
        <f>'Jan 19'!$E14+'Feb 19'!$E14+'Mar 19'!$E14+'Apr 19'!$E14+'May 19'!$E14+'Jun 19'!$E14+'Jul 19'!$E14+'Aug 19'!$E14+'Sept 19'!$E14+'Oct 19'!$E14+'Nov 19'!$E14+'Dec 19'!$E14</f>
        <v>2097.36</v>
      </c>
      <c r="F14" s="149">
        <f>'Jan 19'!$F14+'Feb 19'!$F14+'Mar 19'!$F14+'Apr 19'!$F14+'May 19'!$F14+'Jun 19'!$F14+'Jul 19'!$F14+'Aug 19'!$F14+'Sept 19'!$F14+'Oct 19'!$F14+'Nov 19'!$F14+'Dec 19'!$F14</f>
        <v>2286.91</v>
      </c>
      <c r="G14" s="149">
        <f>'Jan 19'!$G14+'Feb 19'!$G14+'Mar 19'!$G14+'Apr 19'!$G14+'May 19'!$G14+'Jun 19'!$G14+'Jul 19'!$G14+'Aug 19'!$G14+'Sept 19'!$G14+'Oct 19'!$G14+'Nov 19'!$G14+'Dec 19'!$G14</f>
        <v>0</v>
      </c>
      <c r="H14" s="149">
        <f>'Jan 19'!$H14+'Feb 19'!$H14+'Mar 19'!$H14+'Apr 19'!$H14+'May 19'!$H14+'Jun 19'!$H14+'Jul 19'!$H14+'Aug 19'!$H14+'Sept 19'!$H14+'Oct 19'!$H14+'Nov 19'!$H14+'Dec 19'!$H14</f>
        <v>0</v>
      </c>
      <c r="I14" s="149">
        <f>'Jan 19'!$I14+'Feb 19'!$I14+'Mar 19'!$I14+'Apr 19'!$I14+'May 19'!$I14+'Jun 19'!$I14+'Jul 19'!$I14+'Aug 19'!$I14+'Sept 19'!$I14+'Oct 19'!$I14+'Nov 19'!$I14+'Dec 19'!$I14</f>
        <v>0</v>
      </c>
      <c r="J14" s="149">
        <f>'Jan 19'!$J14+'Feb 19'!$J14+'Mar 19'!$J14+'Apr 19'!$J14+'May 19'!$J14+'Jun 19'!$J14+'Jul 19'!$J14+'Aug 19'!$J14+'Sept 19'!$J14+'Oct 19'!$J14+'Nov 19'!$J14+'Dec 19'!$J14</f>
        <v>0</v>
      </c>
      <c r="K14" s="149">
        <f>'Jan 19'!$K14+'Feb 19'!$K14+'Mar 19'!$K14+'Apr 19'!$K14+'May 19'!$K14+'Jun 19'!$K14+'Jul 19'!$K14+'Aug 19'!$K14+'Sept 19'!$K14+'Oct 19'!$K14+'Nov 19'!$K14+'Dec 19'!$K14</f>
        <v>0</v>
      </c>
      <c r="L14" s="149">
        <f>'Jan 19'!$L14+'Feb 19'!$L14+'Mar 19'!$L14+'Apr 19'!$L14+'May 19'!$L14+'Jun 19'!$L14+'Jul 19'!$L14+'Aug 19'!$L14+'Sept 19'!$L14+'Oct 19'!$L14+'Nov 19'!$L14+'Dec 19'!$L14</f>
        <v>0</v>
      </c>
      <c r="M14" s="149">
        <f>'Jan 19'!$M14+'Feb 19'!$M14+'Mar 19'!$M14+'Apr 19'!$M14+'May 19'!$M14+'Jun 19'!$M14+'Jul 19'!$M14+'Aug 19'!$M14+'Sept 19'!$M14+'Oct 19'!$M14+'Nov 19'!$M14+'Dec 19'!$M14</f>
        <v>0</v>
      </c>
      <c r="N14" s="151">
        <f t="shared" si="0"/>
        <v>14391.01</v>
      </c>
    </row>
    <row r="15" spans="1:14" s="126" customFormat="1" ht="20.25" customHeight="1">
      <c r="A15" s="148" t="s">
        <v>19</v>
      </c>
      <c r="B15" s="149">
        <f>'Jan 19'!$B15+'Feb 19'!$B15+'Mar 19'!$B15+'Apr 19'!$B15+'May 19'!$B15+'Jun 19'!$B15+'Jul 19'!$B15+'Aug 19'!$B15+'Sept 19'!$B15+'Oct 19'!$B15+'Nov 19'!$B15+'Dec 19'!$B15</f>
        <v>2390.4</v>
      </c>
      <c r="C15" s="149">
        <f>'Jan 19'!$C15+'Feb 19'!$C15+'Mar 19'!$C15+'Apr 19'!$C15+'May 19'!$C15+'Jun 19'!$C15+'Jul 19'!$C15+'Aug 19'!$C15+'Sept 19'!$C15+'Oct 19'!$C15+'Nov 19'!$C15+'Dec 19'!$C15</f>
        <v>7519.959999999999</v>
      </c>
      <c r="D15" s="149">
        <f>'Jan 19'!$D15+'Feb 19'!$D15+'Mar 19'!$D15+'Apr 19'!$D15+'May 19'!$D15+'Jun 19'!$D15+'Jul 19'!$D15+'Aug 19'!$D15+'Sept 19'!$D15+'Oct 19'!$D15+'Nov 19'!$D15+'Dec 19'!$D15</f>
        <v>0</v>
      </c>
      <c r="E15" s="150">
        <f>'Jan 19'!$E15+'Feb 19'!$E15+'Mar 19'!$E15+'Apr 19'!$E15+'May 19'!$E15+'Jun 19'!$E15+'Jul 19'!$E15+'Aug 19'!$E15+'Sept 19'!$E15+'Oct 19'!$E15+'Nov 19'!$E15+'Dec 19'!$E15</f>
        <v>63.94</v>
      </c>
      <c r="F15" s="149">
        <f>'Jan 19'!$F15+'Feb 19'!$F15+'Mar 19'!$F15+'Apr 19'!$F15+'May 19'!$F15+'Jun 19'!$F15+'Jul 19'!$F15+'Aug 19'!$F15+'Sept 19'!$F15+'Oct 19'!$F15+'Nov 19'!$F15+'Dec 19'!$F15</f>
        <v>134.76</v>
      </c>
      <c r="G15" s="149">
        <f>'Jan 19'!$G15+'Feb 19'!$G15+'Mar 19'!$G15+'Apr 19'!$G15+'May 19'!$G15+'Jun 19'!$G15+'Jul 19'!$G15+'Aug 19'!$G15+'Sept 19'!$G15+'Oct 19'!$G15+'Nov 19'!$G15+'Dec 19'!$G15</f>
        <v>0</v>
      </c>
      <c r="H15" s="149">
        <f>'Jan 19'!$H15+'Feb 19'!$H15+'Mar 19'!$H15+'Apr 19'!$H15+'May 19'!$H15+'Jun 19'!$H15+'Jul 19'!$H15+'Aug 19'!$H15+'Sept 19'!$H15+'Oct 19'!$H15+'Nov 19'!$H15+'Dec 19'!$H15</f>
        <v>0</v>
      </c>
      <c r="I15" s="149">
        <f>'Jan 19'!$I15+'Feb 19'!$I15+'Mar 19'!$I15+'Apr 19'!$I15+'May 19'!$I15+'Jun 19'!$I15+'Jul 19'!$I15+'Aug 19'!$I15+'Sept 19'!$I15+'Oct 19'!$I15+'Nov 19'!$I15+'Dec 19'!$I15</f>
        <v>0</v>
      </c>
      <c r="J15" s="149">
        <f>'Jan 19'!$J15+'Feb 19'!$J15+'Mar 19'!$J15+'Apr 19'!$J15+'May 19'!$J15+'Jun 19'!$J15+'Jul 19'!$J15+'Aug 19'!$J15+'Sept 19'!$J15+'Oct 19'!$J15+'Nov 19'!$J15+'Dec 19'!$J15</f>
        <v>0</v>
      </c>
      <c r="K15" s="149">
        <f>'Jan 19'!$K15+'Feb 19'!$K15+'Mar 19'!$K15+'Apr 19'!$K15+'May 19'!$K15+'Jun 19'!$K15+'Jul 19'!$K15+'Aug 19'!$K15+'Sept 19'!$K15+'Oct 19'!$K15+'Nov 19'!$K15+'Dec 19'!$K15</f>
        <v>0</v>
      </c>
      <c r="L15" s="149">
        <f>'Jan 19'!$L15+'Feb 19'!$L15+'Mar 19'!$L15+'Apr 19'!$L15+'May 19'!$L15+'Jun 19'!$L15+'Jul 19'!$L15+'Aug 19'!$L15+'Sept 19'!$L15+'Oct 19'!$L15+'Nov 19'!$L15+'Dec 19'!$L15</f>
        <v>171.20999999999998</v>
      </c>
      <c r="M15" s="149">
        <f>'Jan 19'!$M15+'Feb 19'!$M15+'Mar 19'!$M15+'Apr 19'!$M15+'May 19'!$M15+'Jun 19'!$M15+'Jul 19'!$M15+'Aug 19'!$M15+'Sept 19'!$M15+'Oct 19'!$M15+'Nov 19'!$M15+'Dec 19'!$M15</f>
        <v>0</v>
      </c>
      <c r="N15" s="151">
        <f t="shared" si="0"/>
        <v>10280.269999999999</v>
      </c>
    </row>
    <row r="16" spans="1:14" s="126" customFormat="1" ht="20.25" customHeight="1">
      <c r="A16" s="148" t="s">
        <v>94</v>
      </c>
      <c r="B16" s="149">
        <f>'Jan 19'!$B16+'Feb 19'!$B16+'Mar 19'!$B16+'Apr 19'!$B16+'May 19'!$B16+'Jun 19'!$B16+'Jul 19'!$B16+'Aug 19'!$B16+'Sept 19'!$B16+'Oct 19'!$B16+'Nov 19'!$B16+'Dec 19'!$B16</f>
        <v>2173.85</v>
      </c>
      <c r="C16" s="149">
        <f>'Jan 19'!$C16+'Feb 19'!$C16+'Mar 19'!$C16+'Apr 19'!$C16+'May 19'!$C16+'Jun 19'!$C16+'Jul 19'!$C16+'Aug 19'!$C16+'Sept 19'!$C16+'Oct 19'!$C16+'Nov 19'!$C16+'Dec 19'!$C16</f>
        <v>7519.959999999999</v>
      </c>
      <c r="D16" s="149">
        <f>'Jan 19'!$D16+'Feb 19'!$D16+'Mar 19'!$D16+'Apr 19'!$D16+'May 19'!$D16+'Jun 19'!$D16+'Jul 19'!$D16+'Aug 19'!$D16+'Sept 19'!$D16+'Oct 19'!$D16+'Nov 19'!$D16+'Dec 19'!$D16</f>
        <v>0</v>
      </c>
      <c r="E16" s="150">
        <f>'Jan 19'!$E16+'Feb 19'!$E16+'Mar 19'!$E16+'Apr 19'!$E16+'May 19'!$E16+'Jun 19'!$E16+'Jul 19'!$E16+'Aug 19'!$E16+'Sept 19'!$E16+'Oct 19'!$E16+'Nov 19'!$E16+'Dec 19'!$E16</f>
        <v>0</v>
      </c>
      <c r="F16" s="149">
        <f>'Jan 19'!$F16+'Feb 19'!$F16+'Mar 19'!$F16+'Apr 19'!$F16+'May 19'!$F16+'Jun 19'!$F16+'Jul 19'!$F16+'Aug 19'!$F16+'Sept 19'!$F16+'Oct 19'!$F16+'Nov 19'!$F16+'Dec 19'!$F16</f>
        <v>0</v>
      </c>
      <c r="G16" s="149">
        <f>'Jan 19'!$G16+'Feb 19'!$G16+'Mar 19'!$G16+'Apr 19'!$G16+'May 19'!$G16+'Jun 19'!$G16+'Jul 19'!$G16+'Aug 19'!$G16+'Sept 19'!$G16+'Oct 19'!$G16+'Nov 19'!$G16+'Dec 19'!$G16</f>
        <v>0</v>
      </c>
      <c r="H16" s="149">
        <f>'Jan 19'!$H16+'Feb 19'!$H16+'Mar 19'!$H16+'Apr 19'!$H16+'May 19'!$H16+'Jun 19'!$H16+'Jul 19'!$H16+'Aug 19'!$H16+'Sept 19'!$H16+'Oct 19'!$H16+'Nov 19'!$H16+'Dec 19'!$H16</f>
        <v>0</v>
      </c>
      <c r="I16" s="149">
        <f>'Jan 19'!$I16+'Feb 19'!$I16+'Mar 19'!$I16+'Apr 19'!$I16+'May 19'!$I16+'Jun 19'!$I16+'Jul 19'!$I16+'Aug 19'!$I16+'Sept 19'!$I16+'Oct 19'!$I16+'Nov 19'!$I16+'Dec 19'!$I16</f>
        <v>0</v>
      </c>
      <c r="J16" s="149">
        <f>'Jan 19'!$J16+'Feb 19'!$J16+'Mar 19'!$J16+'Apr 19'!$J16+'May 19'!$J16+'Jun 19'!$J16+'Jul 19'!$J16+'Aug 19'!$J16+'Sept 19'!$J16+'Oct 19'!$J16+'Nov 19'!$J16+'Dec 19'!$J16</f>
        <v>0</v>
      </c>
      <c r="K16" s="149">
        <f>'Jan 19'!$K16+'Feb 19'!$K16+'Mar 19'!$K16+'Apr 19'!$K16+'May 19'!$K16+'Jun 19'!$K16+'Jul 19'!$K16+'Aug 19'!$K16+'Sept 19'!$K16+'Oct 19'!$K16+'Nov 19'!$K16+'Dec 19'!$K16</f>
        <v>300</v>
      </c>
      <c r="L16" s="149">
        <f>'Jan 19'!$L16+'Feb 19'!$L16+'Mar 19'!$L16+'Apr 19'!$L16+'May 19'!$L16+'Jun 19'!$L16+'Jul 19'!$L16+'Aug 19'!$L16+'Sept 19'!$L16+'Oct 19'!$L16+'Nov 19'!$L16+'Dec 19'!$L16</f>
        <v>300</v>
      </c>
      <c r="M16" s="149">
        <f>'Jan 19'!$M16+'Feb 19'!$M16+'Mar 19'!$M16+'Apr 19'!$M16+'May 19'!$M16+'Jun 19'!$M16+'Jul 19'!$M16+'Aug 19'!$M16+'Sept 19'!$M16+'Oct 19'!$M16+'Nov 19'!$M16+'Dec 19'!$M16</f>
        <v>0</v>
      </c>
      <c r="N16" s="151">
        <f t="shared" si="0"/>
        <v>10293.81</v>
      </c>
    </row>
    <row r="17" spans="1:14" s="126" customFormat="1" ht="20.25" customHeight="1">
      <c r="A17" s="127" t="s">
        <v>20</v>
      </c>
      <c r="B17" s="149">
        <f>'Jan 19'!$B17+'Feb 19'!$B17+'Mar 19'!$B17+'Apr 19'!$B17+'May 19'!$B17+'Jun 19'!$B17+'Jul 19'!$B17+'Aug 19'!$B17+'Sept 19'!$B17+'Oct 19'!$B17+'Nov 19'!$B17+'Dec 19'!$B17</f>
        <v>2077.58</v>
      </c>
      <c r="C17" s="149">
        <f>'Jan 19'!$C17+'Feb 19'!$C17+'Mar 19'!$C17+'Apr 19'!$C17+'May 19'!$C17+'Jun 19'!$C17+'Jul 19'!$C17+'Aug 19'!$C17+'Sept 19'!$C17+'Oct 19'!$C17+'Nov 19'!$C17+'Dec 19'!$C17</f>
        <v>7519.959999999999</v>
      </c>
      <c r="D17" s="149">
        <f>'Jan 19'!$D17+'Feb 19'!$D17+'Mar 19'!$D17+'Apr 19'!$D17+'May 19'!$D17+'Jun 19'!$D17+'Jul 19'!$D17+'Aug 19'!$D17+'Sept 19'!$D17+'Oct 19'!$D17+'Nov 19'!$D17+'Dec 19'!$D17</f>
        <v>0</v>
      </c>
      <c r="E17" s="150">
        <f>'Jan 19'!$E17+'Feb 19'!$E17+'Mar 19'!$E17+'Apr 19'!$E17+'May 19'!$E17+'Jun 19'!$E17+'Jul 19'!$E17+'Aug 19'!$E17+'Sept 19'!$E17+'Oct 19'!$E17+'Nov 19'!$E17+'Dec 19'!$E17</f>
        <v>626.61</v>
      </c>
      <c r="F17" s="149">
        <f>'Jan 19'!$F17+'Feb 19'!$F17+'Mar 19'!$F17+'Apr 19'!$F17+'May 19'!$F17+'Jun 19'!$F17+'Jul 19'!$F17+'Aug 19'!$F17+'Sept 19'!$F17+'Oct 19'!$F17+'Nov 19'!$F17+'Dec 19'!$F17</f>
        <v>0</v>
      </c>
      <c r="G17" s="149">
        <f>'Jan 19'!$G17+'Feb 19'!$G17+'Mar 19'!$G17+'Apr 19'!$G17+'May 19'!$G17+'Jun 19'!$G17+'Jul 19'!$G17+'Aug 19'!$G17+'Sept 19'!$G17+'Oct 19'!$G17+'Nov 19'!$G17+'Dec 19'!$G17</f>
        <v>0</v>
      </c>
      <c r="H17" s="149">
        <f>'Jan 19'!$H17+'Feb 19'!$H17+'Mar 19'!$H17+'Apr 19'!$H17+'May 19'!$H17+'Jun 19'!$H17+'Jul 19'!$H17+'Aug 19'!$H17+'Sept 19'!$H17+'Oct 19'!$H17+'Nov 19'!$H17+'Dec 19'!$H17</f>
        <v>0</v>
      </c>
      <c r="I17" s="149">
        <f>'Jan 19'!$I17+'Feb 19'!$I17+'Mar 19'!$I17+'Apr 19'!$I17+'May 19'!$I17+'Jun 19'!$I17+'Jul 19'!$I17+'Aug 19'!$I17+'Sept 19'!$I17+'Oct 19'!$I17+'Nov 19'!$I17+'Dec 19'!$I17</f>
        <v>0</v>
      </c>
      <c r="J17" s="149">
        <f>'Jan 19'!$J17+'Feb 19'!$J17+'Mar 19'!$J17+'Apr 19'!$J17+'May 19'!$J17+'Jun 19'!$J17+'Jul 19'!$J17+'Aug 19'!$J17+'Sept 19'!$J17+'Oct 19'!$J17+'Nov 19'!$J17+'Dec 19'!$J17</f>
        <v>0</v>
      </c>
      <c r="K17" s="149">
        <f>'Jan 19'!$K17+'Feb 19'!$K17+'Mar 19'!$K17+'Apr 19'!$K17+'May 19'!$K17+'Jun 19'!$K17+'Jul 19'!$K17+'Aug 19'!$K17+'Sept 19'!$K17+'Oct 19'!$K17+'Nov 19'!$K17+'Dec 19'!$K17</f>
        <v>0</v>
      </c>
      <c r="L17" s="149">
        <f>'Jan 19'!$L17+'Feb 19'!$L17+'Mar 19'!$L17+'Apr 19'!$L17+'May 19'!$L17+'Jun 19'!$L17+'Jul 19'!$L17+'Aug 19'!$L17+'Sept 19'!$L17+'Oct 19'!$L17+'Nov 19'!$L17+'Dec 19'!$L17</f>
        <v>58.33</v>
      </c>
      <c r="M17" s="149">
        <f>'Jan 19'!$M17+'Feb 19'!$M17+'Mar 19'!$M17+'Apr 19'!$M17+'May 19'!$M17+'Jun 19'!$M17+'Jul 19'!$M17+'Aug 19'!$M17+'Sept 19'!$M17+'Oct 19'!$M17+'Nov 19'!$M17+'Dec 19'!$M17</f>
        <v>0</v>
      </c>
      <c r="N17" s="151">
        <f t="shared" si="0"/>
        <v>10282.48</v>
      </c>
    </row>
    <row r="18" spans="1:14" s="126" customFormat="1" ht="20.25" customHeight="1">
      <c r="A18" s="148" t="s">
        <v>21</v>
      </c>
      <c r="B18" s="149">
        <f>'Jan 19'!$B18+'Feb 19'!$B18+'Mar 19'!$B18+'Apr 19'!$B18+'May 19'!$B18+'Jun 19'!$B18+'Jul 19'!$B18+'Aug 19'!$B18+'Sept 19'!$B18+'Oct 19'!$B18+'Nov 19'!$B18+'Dec 19'!$B18</f>
        <v>2173.85</v>
      </c>
      <c r="C18" s="149">
        <f>'Jan 19'!$C18+'Feb 19'!$C18+'Mar 19'!$C18+'Apr 19'!$C18+'May 19'!$C18+'Jun 19'!$C18+'Jul 19'!$C18+'Aug 19'!$C18+'Sept 19'!$C18+'Oct 19'!$C18+'Nov 19'!$C18+'Dec 19'!$C18</f>
        <v>7519.959999999999</v>
      </c>
      <c r="D18" s="149">
        <f>'Jan 19'!$D18+'Feb 19'!$D18+'Mar 19'!$D18+'Apr 19'!$D18+'May 19'!$D18+'Jun 19'!$D18+'Jul 19'!$D18+'Aug 19'!$D18+'Sept 19'!$D18+'Oct 19'!$D18+'Nov 19'!$D18+'Dec 19'!$D18</f>
        <v>184.62</v>
      </c>
      <c r="E18" s="150">
        <f>'Jan 19'!$E18+'Feb 19'!$E18+'Mar 19'!$E18+'Apr 19'!$E18+'May 19'!$E18+'Jun 19'!$E18+'Jul 19'!$E18+'Aug 19'!$E18+'Sept 19'!$E18+'Oct 19'!$E18+'Nov 19'!$E18+'Dec 19'!$E18</f>
        <v>0</v>
      </c>
      <c r="F18" s="149">
        <f>'Jan 19'!$F18+'Feb 19'!$F18+'Mar 19'!$F18+'Apr 19'!$F18+'May 19'!$F18+'Jun 19'!$F18+'Jul 19'!$F18+'Aug 19'!$F18+'Sept 19'!$F18+'Oct 19'!$F18+'Nov 19'!$F18+'Dec 19'!$F18</f>
        <v>0</v>
      </c>
      <c r="G18" s="149">
        <f>'Jan 19'!$G18+'Feb 19'!$G18+'Mar 19'!$G18+'Apr 19'!$G18+'May 19'!$G18+'Jun 19'!$G18+'Jul 19'!$G18+'Aug 19'!$G18+'Sept 19'!$G18+'Oct 19'!$G18+'Nov 19'!$G18+'Dec 19'!$G18</f>
        <v>0</v>
      </c>
      <c r="H18" s="149">
        <f>'Jan 19'!$H18+'Feb 19'!$H18+'Mar 19'!$H18+'Apr 19'!$H18+'May 19'!$H18+'Jun 19'!$H18+'Jul 19'!$H18+'Aug 19'!$H18+'Sept 19'!$H18+'Oct 19'!$H18+'Nov 19'!$H18+'Dec 19'!$H18</f>
        <v>0</v>
      </c>
      <c r="I18" s="149">
        <f>'Jan 19'!$I18+'Feb 19'!$I18+'Mar 19'!$I18+'Apr 19'!$I18+'May 19'!$I18+'Jun 19'!$I18+'Jul 19'!$I18+'Aug 19'!$I18+'Sept 19'!$I18+'Oct 19'!$I18+'Nov 19'!$I18+'Dec 19'!$I18</f>
        <v>0</v>
      </c>
      <c r="J18" s="149">
        <f>'Jan 19'!$J18+'Feb 19'!$J18+'Mar 19'!$J18+'Apr 19'!$J18+'May 19'!$J18+'Jun 19'!$J18+'Jul 19'!$J18+'Aug 19'!$J18+'Sept 19'!$J18+'Oct 19'!$J18+'Nov 19'!$J18+'Dec 19'!$J18</f>
        <v>0</v>
      </c>
      <c r="K18" s="149">
        <f>'Jan 19'!$K18+'Feb 19'!$K18+'Mar 19'!$K18+'Apr 19'!$K18+'May 19'!$K18+'Jun 19'!$K18+'Jul 19'!$K18+'Aug 19'!$K18+'Sept 19'!$K18+'Oct 19'!$K18+'Nov 19'!$K18+'Dec 19'!$K18</f>
        <v>0</v>
      </c>
      <c r="L18" s="149">
        <f>'Jan 19'!$L18+'Feb 19'!$L18+'Mar 19'!$L18+'Apr 19'!$L18+'May 19'!$L18+'Jun 19'!$L18+'Jul 19'!$L18+'Aug 19'!$L18+'Sept 19'!$L18+'Oct 19'!$L18+'Nov 19'!$L18+'Dec 19'!$L18</f>
        <v>0</v>
      </c>
      <c r="M18" s="149">
        <f>'Jan 19'!$M18+'Feb 19'!$M18+'Mar 19'!$M18+'Apr 19'!$M18+'May 19'!$M18+'Jun 19'!$M18+'Jul 19'!$M18+'Aug 19'!$M18+'Sept 19'!$M18+'Oct 19'!$M18+'Nov 19'!$M18+'Dec 19'!$M18</f>
        <v>2500</v>
      </c>
      <c r="N18" s="151">
        <f t="shared" si="0"/>
        <v>12378.43</v>
      </c>
    </row>
    <row r="19" spans="1:14" s="126" customFormat="1" ht="20.25" customHeight="1">
      <c r="A19" s="127" t="s">
        <v>22</v>
      </c>
      <c r="B19" s="149">
        <f>'Jan 19'!$B19+'Feb 19'!$B19+'Mar 19'!$B19+'Apr 19'!$B19+'May 19'!$B19+'Jun 19'!$B19+'Jul 19'!$B19+'Aug 19'!$B19+'Sept 19'!$B19+'Oct 19'!$B19+'Nov 19'!$B19+'Dec 19'!$B19</f>
        <v>6264.769999999999</v>
      </c>
      <c r="C19" s="149">
        <f>'Jan 19'!$C19+'Feb 19'!$C19+'Mar 19'!$C19+'Apr 19'!$C19+'May 19'!$C19+'Jun 19'!$C19+'Jul 19'!$C19+'Aug 19'!$C19+'Sept 19'!$C19+'Oct 19'!$C19+'Nov 19'!$C19+'Dec 19'!$C19</f>
        <v>17093.34</v>
      </c>
      <c r="D19" s="149">
        <f>'Jan 19'!$D19+'Feb 19'!$D19+'Mar 19'!$D19+'Apr 19'!$D19+'May 19'!$D19+'Jun 19'!$D19+'Jul 19'!$D19+'Aug 19'!$D19+'Sept 19'!$D19+'Oct 19'!$D19+'Nov 19'!$D19+'Dec 19'!$D19</f>
        <v>0</v>
      </c>
      <c r="E19" s="150">
        <f>'Jan 19'!$E19+'Feb 19'!$E19+'Mar 19'!$E19+'Apr 19'!$E19+'May 19'!$E19+'Jun 19'!$E19+'Jul 19'!$E19+'Aug 19'!$E19+'Sept 19'!$E19+'Oct 19'!$E19+'Nov 19'!$E19+'Dec 19'!$E19</f>
        <v>0</v>
      </c>
      <c r="F19" s="149">
        <f>'Jan 19'!$F19+'Feb 19'!$F19+'Mar 19'!$F19+'Apr 19'!$F19+'May 19'!$F19+'Jun 19'!$F19+'Jul 19'!$F19+'Aug 19'!$F19+'Sept 19'!$F19+'Oct 19'!$F19+'Nov 19'!$F19+'Dec 19'!$F19</f>
        <v>0</v>
      </c>
      <c r="G19" s="149">
        <f>'Jan 19'!$G19+'Feb 19'!$G19+'Mar 19'!$G19+'Apr 19'!$G19+'May 19'!$G19+'Jun 19'!$G19+'Jul 19'!$G19+'Aug 19'!$G19+'Sept 19'!$G19+'Oct 19'!$G19+'Nov 19'!$G19+'Dec 19'!$G19</f>
        <v>0</v>
      </c>
      <c r="H19" s="149">
        <f>'Jan 19'!$H19+'Feb 19'!$H19+'Mar 19'!$H19+'Apr 19'!$H19+'May 19'!$H19+'Jun 19'!$H19+'Jul 19'!$H19+'Aug 19'!$H19+'Sept 19'!$H19+'Oct 19'!$H19+'Nov 19'!$H19+'Dec 19'!$H19</f>
        <v>0</v>
      </c>
      <c r="I19" s="149">
        <f>'Jan 19'!$I19+'Feb 19'!$I19+'Mar 19'!$I19+'Apr 19'!$I19+'May 19'!$I19+'Jun 19'!$I19+'Jul 19'!$I19+'Aug 19'!$I19+'Sept 19'!$I19+'Oct 19'!$I19+'Nov 19'!$I19+'Dec 19'!$I19</f>
        <v>0</v>
      </c>
      <c r="J19" s="149">
        <f>'Jan 19'!$J19+'Feb 19'!$J19+'Mar 19'!$J19+'Apr 19'!$J19+'May 19'!$J19+'Jun 19'!$J19+'Jul 19'!$J19+'Aug 19'!$J19+'Sept 19'!$J19+'Oct 19'!$J19+'Nov 19'!$J19+'Dec 19'!$J19</f>
        <v>0</v>
      </c>
      <c r="K19" s="149">
        <f>'Jan 19'!$K19+'Feb 19'!$K19+'Mar 19'!$K19+'Apr 19'!$K19+'May 19'!$K19+'Jun 19'!$K19+'Jul 19'!$K19+'Aug 19'!$K19+'Sept 19'!$K19+'Oct 19'!$K19+'Nov 19'!$K19+'Dec 19'!$K19</f>
        <v>0</v>
      </c>
      <c r="L19" s="149">
        <f>'Jan 19'!$L19+'Feb 19'!$L19+'Mar 19'!$L19+'Apr 19'!$L19+'May 19'!$L19+'Jun 19'!$L19+'Jul 19'!$L19+'Aug 19'!$L19+'Sept 19'!$L19+'Oct 19'!$L19+'Nov 19'!$L19+'Dec 19'!$L19</f>
        <v>0</v>
      </c>
      <c r="M19" s="149">
        <f>'Jan 19'!$M19+'Feb 19'!$M19+'Mar 19'!$M19+'Apr 19'!$M19+'May 19'!$M19+'Jun 19'!$M19+'Jul 19'!$M19+'Aug 19'!$M19+'Sept 19'!$M19+'Oct 19'!$M19+'Nov 19'!$M19+'Dec 19'!$M19</f>
        <v>0</v>
      </c>
      <c r="N19" s="151">
        <f t="shared" si="0"/>
        <v>23358.11</v>
      </c>
    </row>
    <row r="20" spans="1:14" s="126" customFormat="1" ht="20.25" customHeight="1">
      <c r="A20" s="148" t="s">
        <v>23</v>
      </c>
      <c r="B20" s="149">
        <f>'Jan 19'!$B20+'Feb 19'!$B20+'Mar 19'!$B20+'Apr 19'!$B20+'May 19'!$B20+'Jun 19'!$B20+'Jul 19'!$B20+'Aug 19'!$B20+'Sept 19'!$B20+'Oct 19'!$B20+'Nov 19'!$B20+'Dec 19'!$B20</f>
        <v>2173.85</v>
      </c>
      <c r="C20" s="149">
        <f>'Jan 19'!$C20+'Feb 19'!$C20+'Mar 19'!$C20+'Apr 19'!$C20+'May 19'!$C20+'Jun 19'!$C20+'Jul 19'!$C20+'Aug 19'!$C20+'Sept 19'!$C20+'Oct 19'!$C20+'Nov 19'!$C20+'Dec 19'!$C20</f>
        <v>7519.959999999999</v>
      </c>
      <c r="D20" s="149">
        <f>'Jan 19'!$D20+'Feb 19'!$D20+'Mar 19'!$D20+'Apr 19'!$D20+'May 19'!$D20+'Jun 19'!$D20+'Jul 19'!$D20+'Aug 19'!$D20+'Sept 19'!$D20+'Oct 19'!$D20+'Nov 19'!$D20+'Dec 19'!$D20</f>
        <v>0</v>
      </c>
      <c r="E20" s="150">
        <f>'Jan 19'!$E20+'Feb 19'!$E20+'Mar 19'!$E20+'Apr 19'!$E20+'May 19'!$E20+'Jun 19'!$E20+'Jul 19'!$E20+'Aug 19'!$E20+'Sept 19'!$E20+'Oct 19'!$E20+'Nov 19'!$E20+'Dec 19'!$E20</f>
        <v>0</v>
      </c>
      <c r="F20" s="149">
        <f>'Jan 19'!$F20+'Feb 19'!$F20+'Mar 19'!$F20+'Apr 19'!$F20+'May 19'!$F20+'Jun 19'!$F20+'Jul 19'!$F20+'Aug 19'!$F20+'Sept 19'!$F20+'Oct 19'!$F20+'Nov 19'!$F20+'Dec 19'!$F20</f>
        <v>0</v>
      </c>
      <c r="G20" s="149">
        <f>'Jan 19'!$G20+'Feb 19'!$G20+'Mar 19'!$G20+'Apr 19'!$G20+'May 19'!$G20+'Jun 19'!$G20+'Jul 19'!$G20+'Aug 19'!$G20+'Sept 19'!$G20+'Oct 19'!$G20+'Nov 19'!$G20+'Dec 19'!$G20</f>
        <v>0</v>
      </c>
      <c r="H20" s="149">
        <f>'Jan 19'!$H20+'Feb 19'!$H20+'Mar 19'!$H20+'Apr 19'!$H20+'May 19'!$H20+'Jun 19'!$H20+'Jul 19'!$H20+'Aug 19'!$H20+'Sept 19'!$H20+'Oct 19'!$H20+'Nov 19'!$H20+'Dec 19'!$H20</f>
        <v>0</v>
      </c>
      <c r="I20" s="149">
        <f>'Jan 19'!$I20+'Feb 19'!$I20+'Mar 19'!$I20+'Apr 19'!$I20+'May 19'!$I20+'Jun 19'!$I20+'Jul 19'!$I20+'Aug 19'!$I20+'Sept 19'!$I20+'Oct 19'!$I20+'Nov 19'!$I20+'Dec 19'!$I20</f>
        <v>0</v>
      </c>
      <c r="J20" s="149">
        <f>'Jan 19'!$J20+'Feb 19'!$J20+'Mar 19'!$J20+'Apr 19'!$J20+'May 19'!$J20+'Jun 19'!$J20+'Jul 19'!$J20+'Aug 19'!$J20+'Sept 19'!$J20+'Oct 19'!$J20+'Nov 19'!$J20+'Dec 19'!$J20</f>
        <v>0</v>
      </c>
      <c r="K20" s="149">
        <f>'Jan 19'!$K20+'Feb 19'!$K20+'Mar 19'!$K20+'Apr 19'!$K20+'May 19'!$K20+'Jun 19'!$K20+'Jul 19'!$K20+'Aug 19'!$K20+'Sept 19'!$K20+'Oct 19'!$K20+'Nov 19'!$K20+'Dec 19'!$K20</f>
        <v>0</v>
      </c>
      <c r="L20" s="149">
        <f>'Jan 19'!$L20+'Feb 19'!$L20+'Mar 19'!$L20+'Apr 19'!$L20+'May 19'!$L20+'Jun 19'!$L20+'Jul 19'!$L20+'Aug 19'!$L20+'Sept 19'!$L20+'Oct 19'!$L20+'Nov 19'!$L20+'Dec 19'!$L20</f>
        <v>96.79</v>
      </c>
      <c r="M20" s="149">
        <f>'Jan 19'!$M20+'Feb 19'!$M20+'Mar 19'!$M20+'Apr 19'!$M20+'May 19'!$M20+'Jun 19'!$M20+'Jul 19'!$M20+'Aug 19'!$M20+'Sept 19'!$M20+'Oct 19'!$M20+'Nov 19'!$M20+'Dec 19'!$M20</f>
        <v>0</v>
      </c>
      <c r="N20" s="151">
        <f t="shared" si="0"/>
        <v>9790.6</v>
      </c>
    </row>
    <row r="21" spans="1:14" s="126" customFormat="1" ht="20.25" customHeight="1">
      <c r="A21" s="127" t="s">
        <v>24</v>
      </c>
      <c r="B21" s="149">
        <f>'Jan 19'!$B21+'Feb 19'!$B21+'Mar 19'!$B21+'Apr 19'!$B21+'May 19'!$B21+'Jun 19'!$B21+'Jul 19'!$B21+'Aug 19'!$B21+'Sept 19'!$B21+'Oct 19'!$B21+'Nov 19'!$B21+'Dec 19'!$B21</f>
        <v>5212.96</v>
      </c>
      <c r="C21" s="149">
        <f>'Jan 19'!$C21+'Feb 19'!$C21+'Mar 19'!$C21+'Apr 19'!$C21+'May 19'!$C21+'Jun 19'!$C21+'Jul 19'!$C21+'Aug 19'!$C21+'Sept 19'!$C21+'Oct 19'!$C21+'Nov 19'!$C21+'Dec 19'!$C21</f>
        <v>17093.34</v>
      </c>
      <c r="D21" s="149">
        <f>'Jan 19'!$D21+'Feb 19'!$D21+'Mar 19'!$D21+'Apr 19'!$D21+'May 19'!$D21+'Jun 19'!$D21+'Jul 19'!$D21+'Aug 19'!$D21+'Sept 19'!$D21+'Oct 19'!$D21+'Nov 19'!$D21+'Dec 19'!$D21</f>
        <v>250.02</v>
      </c>
      <c r="E21" s="150">
        <f>'Jan 19'!$E21+'Feb 19'!$E21+'Mar 19'!$E21+'Apr 19'!$E21+'May 19'!$E21+'Jun 19'!$E21+'Jul 19'!$E21+'Aug 19'!$E21+'Sept 19'!$E21+'Oct 19'!$E21+'Nov 19'!$E21+'Dec 19'!$E21</f>
        <v>4940.5</v>
      </c>
      <c r="F21" s="149">
        <f>'Jan 19'!$F21+'Feb 19'!$F21+'Mar 19'!$F21+'Apr 19'!$F21+'May 19'!$F21+'Jun 19'!$F21+'Jul 19'!$F21+'Aug 19'!$F21+'Sept 19'!$F21+'Oct 19'!$F21+'Nov 19'!$F21+'Dec 19'!$F21</f>
        <v>0</v>
      </c>
      <c r="G21" s="149">
        <f>'Jan 19'!$G21+'Feb 19'!$G21+'Mar 19'!$G21+'Apr 19'!$G21+'May 19'!$G21+'Jun 19'!$G21+'Jul 19'!$G21+'Aug 19'!$G21+'Sept 19'!$G21+'Oct 19'!$G21+'Nov 19'!$G21+'Dec 19'!$G21</f>
        <v>0</v>
      </c>
      <c r="H21" s="149">
        <f>'Jan 19'!$H21+'Feb 19'!$H21+'Mar 19'!$H21+'Apr 19'!$H21+'May 19'!$H21+'Jun 19'!$H21+'Jul 19'!$H21+'Aug 19'!$H21+'Sept 19'!$H21+'Oct 19'!$H21+'Nov 19'!$H21+'Dec 19'!$H21</f>
        <v>0</v>
      </c>
      <c r="I21" s="149">
        <f>'Jan 19'!$I21+'Feb 19'!$I21+'Mar 19'!$I21+'Apr 19'!$I21+'May 19'!$I21+'Jun 19'!$I21+'Jul 19'!$I21+'Aug 19'!$I21+'Sept 19'!$I21+'Oct 19'!$I21+'Nov 19'!$I21+'Dec 19'!$I21</f>
        <v>0</v>
      </c>
      <c r="J21" s="149">
        <f>'Jan 19'!$J21+'Feb 19'!$J21+'Mar 19'!$J21+'Apr 19'!$J21+'May 19'!$J21+'Jun 19'!$J21+'Jul 19'!$J21+'Aug 19'!$J21+'Sept 19'!$J21+'Oct 19'!$J21+'Nov 19'!$J21+'Dec 19'!$J21</f>
        <v>0</v>
      </c>
      <c r="K21" s="149">
        <f>'Jan 19'!$K21+'Feb 19'!$K21+'Mar 19'!$K21+'Apr 19'!$K21+'May 19'!$K21+'Jun 19'!$K21+'Jul 19'!$K21+'Aug 19'!$K21+'Sept 19'!$K21+'Oct 19'!$K21+'Nov 19'!$K21+'Dec 19'!$K21</f>
        <v>139.93</v>
      </c>
      <c r="L21" s="149">
        <f>'Jan 19'!$L21+'Feb 19'!$L21+'Mar 19'!$L21+'Apr 19'!$L21+'May 19'!$L21+'Jun 19'!$L21+'Jul 19'!$L21+'Aug 19'!$L21+'Sept 19'!$L21+'Oct 19'!$L21+'Nov 19'!$L21+'Dec 19'!$L21</f>
        <v>237.04000000000002</v>
      </c>
      <c r="M21" s="149">
        <f>'Jan 19'!$M21+'Feb 19'!$M21+'Mar 19'!$M21+'Apr 19'!$M21+'May 19'!$M21+'Jun 19'!$M21+'Jul 19'!$M21+'Aug 19'!$M21+'Sept 19'!$M21+'Oct 19'!$M21+'Nov 19'!$M21+'Dec 19'!$M21</f>
        <v>3500</v>
      </c>
      <c r="N21" s="151">
        <f t="shared" si="0"/>
        <v>31373.79</v>
      </c>
    </row>
    <row r="22" spans="1:14" s="126" customFormat="1" ht="20.25" customHeight="1">
      <c r="A22" s="148" t="s">
        <v>25</v>
      </c>
      <c r="B22" s="149">
        <f>'Jan 19'!$B22+'Feb 19'!$B22+'Mar 19'!$B22+'Apr 19'!$B22+'May 19'!$B22+'Jun 19'!$B22+'Jul 19'!$B22+'Aug 19'!$B22+'Sept 19'!$B22+'Oct 19'!$B22+'Nov 19'!$B22+'Dec 19'!$B22</f>
        <v>2208.85</v>
      </c>
      <c r="C22" s="149">
        <f>'Jan 19'!$C22+'Feb 19'!$C22+'Mar 19'!$C22+'Apr 19'!$C22+'May 19'!$C22+'Jun 19'!$C22+'Jul 19'!$C22+'Aug 19'!$C22+'Sept 19'!$C22+'Oct 19'!$C22+'Nov 19'!$C22+'Dec 19'!$C22</f>
        <v>7519.959999999999</v>
      </c>
      <c r="D22" s="149">
        <f>'Jan 19'!$D22+'Feb 19'!$D22+'Mar 19'!$D22+'Apr 19'!$D22+'May 19'!$D22+'Jun 19'!$D22+'Jul 19'!$D22+'Aug 19'!$D22+'Sept 19'!$D22+'Oct 19'!$D22+'Nov 19'!$D22+'Dec 19'!$D22</f>
        <v>0</v>
      </c>
      <c r="E22" s="150">
        <f>'Jan 19'!$E22+'Feb 19'!$E22+'Mar 19'!$E22+'Apr 19'!$E22+'May 19'!$E22+'Jun 19'!$E22+'Jul 19'!$E22+'Aug 19'!$E22+'Sept 19'!$E22+'Oct 19'!$E22+'Nov 19'!$E22+'Dec 19'!$E22</f>
        <v>0</v>
      </c>
      <c r="F22" s="149">
        <f>'Jan 19'!$F22+'Feb 19'!$F22+'Mar 19'!$F22+'Apr 19'!$F22+'May 19'!$F22+'Jun 19'!$F22+'Jul 19'!$F22+'Aug 19'!$F22+'Sept 19'!$F22+'Oct 19'!$F22+'Nov 19'!$F22+'Dec 19'!$F22</f>
        <v>0</v>
      </c>
      <c r="G22" s="149">
        <f>'Jan 19'!$G22+'Feb 19'!$G22+'Mar 19'!$G22+'Apr 19'!$G22+'May 19'!$G22+'Jun 19'!$G22+'Jul 19'!$G22+'Aug 19'!$G22+'Sept 19'!$G22+'Oct 19'!$G22+'Nov 19'!$G22+'Dec 19'!$G22</f>
        <v>0</v>
      </c>
      <c r="H22" s="149">
        <f>'Jan 19'!$H22+'Feb 19'!$H22+'Mar 19'!$H22+'Apr 19'!$H22+'May 19'!$H22+'Jun 19'!$H22+'Jul 19'!$H22+'Aug 19'!$H22+'Sept 19'!$H22+'Oct 19'!$H22+'Nov 19'!$H22+'Dec 19'!$H22</f>
        <v>0</v>
      </c>
      <c r="I22" s="149">
        <f>'Jan 19'!$I22+'Feb 19'!$I22+'Mar 19'!$I22+'Apr 19'!$I22+'May 19'!$I22+'Jun 19'!$I22+'Jul 19'!$I22+'Aug 19'!$I22+'Sept 19'!$I22+'Oct 19'!$I22+'Nov 19'!$I22+'Dec 19'!$I22</f>
        <v>0</v>
      </c>
      <c r="J22" s="149">
        <f>'Jan 19'!$J22+'Feb 19'!$J22+'Mar 19'!$J22+'Apr 19'!$J22+'May 19'!$J22+'Jun 19'!$J22+'Jul 19'!$J22+'Aug 19'!$J22+'Sept 19'!$J22+'Oct 19'!$J22+'Nov 19'!$J22+'Dec 19'!$J22</f>
        <v>0</v>
      </c>
      <c r="K22" s="149">
        <f>'Jan 19'!$K22+'Feb 19'!$K22+'Mar 19'!$K22+'Apr 19'!$K22+'May 19'!$K22+'Jun 19'!$K22+'Jul 19'!$K22+'Aug 19'!$K22+'Sept 19'!$K22+'Oct 19'!$K22+'Nov 19'!$K22+'Dec 19'!$K22</f>
        <v>100</v>
      </c>
      <c r="L22" s="149">
        <f>'Jan 19'!$L22+'Feb 19'!$L22+'Mar 19'!$L22+'Apr 19'!$L22+'May 19'!$L22+'Jun 19'!$L22+'Jul 19'!$L22+'Aug 19'!$L22+'Sept 19'!$L22+'Oct 19'!$L22+'Nov 19'!$L22+'Dec 19'!$L22</f>
        <v>367.55</v>
      </c>
      <c r="M22" s="149">
        <f>'Jan 19'!$M22+'Feb 19'!$M22+'Mar 19'!$M22+'Apr 19'!$M22+'May 19'!$M22+'Jun 19'!$M22+'Jul 19'!$M22+'Aug 19'!$M22+'Sept 19'!$M22+'Oct 19'!$M22+'Nov 19'!$M22+'Dec 19'!$M22</f>
        <v>0</v>
      </c>
      <c r="N22" s="151">
        <f t="shared" si="0"/>
        <v>10196.359999999999</v>
      </c>
    </row>
    <row r="23" spans="1:14" s="126" customFormat="1" ht="20.25" customHeight="1">
      <c r="A23" s="127" t="s">
        <v>26</v>
      </c>
      <c r="B23" s="149">
        <f>'Jan 19'!$B23+'Feb 19'!$B23+'Mar 19'!$B23+'Apr 19'!$B23+'May 19'!$B23+'Jun 19'!$B23+'Jul 19'!$B23+'Aug 19'!$B23+'Sept 19'!$B23+'Oct 19'!$B23+'Nov 19'!$B23+'Dec 19'!$B23</f>
        <v>1920.03</v>
      </c>
      <c r="C23" s="149">
        <f>'Jan 19'!$C23+'Feb 19'!$C23+'Mar 19'!$C23+'Apr 19'!$C23+'May 19'!$C23+'Jun 19'!$C23+'Jul 19'!$C23+'Aug 19'!$C23+'Sept 19'!$C23+'Oct 19'!$C23+'Nov 19'!$C23+'Dec 19'!$C23</f>
        <v>7519.959999999999</v>
      </c>
      <c r="D23" s="149">
        <f>'Jan 19'!$D23+'Feb 19'!$D23+'Mar 19'!$D23+'Apr 19'!$D23+'May 19'!$D23+'Jun 19'!$D23+'Jul 19'!$D23+'Aug 19'!$D23+'Sept 19'!$D23+'Oct 19'!$D23+'Nov 19'!$D23+'Dec 19'!$D23</f>
        <v>312.46</v>
      </c>
      <c r="E23" s="150">
        <f>'Jan 19'!$E23+'Feb 19'!$E23+'Mar 19'!$E23+'Apr 19'!$E23+'May 19'!$E23+'Jun 19'!$E23+'Jul 19'!$E23+'Aug 19'!$E23+'Sept 19'!$E23+'Oct 19'!$E23+'Nov 19'!$E23+'Dec 19'!$E23</f>
        <v>1370.57</v>
      </c>
      <c r="F23" s="149">
        <f>'Jan 19'!$F23+'Feb 19'!$F23+'Mar 19'!$F23+'Apr 19'!$F23+'May 19'!$F23+'Jun 19'!$F23+'Jul 19'!$F23+'Aug 19'!$F23+'Sept 19'!$F23+'Oct 19'!$F23+'Nov 19'!$F23+'Dec 19'!$F23</f>
        <v>0</v>
      </c>
      <c r="G23" s="149">
        <f>'Jan 19'!$G23+'Feb 19'!$G23+'Mar 19'!$G23+'Apr 19'!$G23+'May 19'!$G23+'Jun 19'!$G23+'Jul 19'!$G23+'Aug 19'!$G23+'Sept 19'!$G23+'Oct 19'!$G23+'Nov 19'!$G23+'Dec 19'!$G23</f>
        <v>0</v>
      </c>
      <c r="H23" s="149">
        <f>'Jan 19'!$H23+'Feb 19'!$H23+'Mar 19'!$H23+'Apr 19'!$H23+'May 19'!$H23+'Jun 19'!$H23+'Jul 19'!$H23+'Aug 19'!$H23+'Sept 19'!$H23+'Oct 19'!$H23+'Nov 19'!$H23+'Dec 19'!$H23</f>
        <v>0</v>
      </c>
      <c r="I23" s="149">
        <f>'Jan 19'!$I23+'Feb 19'!$I23+'Mar 19'!$I23+'Apr 19'!$I23+'May 19'!$I23+'Jun 19'!$I23+'Jul 19'!$I23+'Aug 19'!$I23+'Sept 19'!$I23+'Oct 19'!$I23+'Nov 19'!$I23+'Dec 19'!$I23</f>
        <v>0</v>
      </c>
      <c r="J23" s="149">
        <f>'Jan 19'!$J23+'Feb 19'!$J23+'Mar 19'!$J23+'Apr 19'!$J23+'May 19'!$J23+'Jun 19'!$J23+'Jul 19'!$J23+'Aug 19'!$J23+'Sept 19'!$J23+'Oct 19'!$J23+'Nov 19'!$J23+'Dec 19'!$J23</f>
        <v>0</v>
      </c>
      <c r="K23" s="149">
        <f>'Jan 19'!$K23+'Feb 19'!$K23+'Mar 19'!$K23+'Apr 19'!$K23+'May 19'!$K23+'Jun 19'!$K23+'Jul 19'!$K23+'Aug 19'!$K23+'Sept 19'!$K23+'Oct 19'!$K23+'Nov 19'!$K23+'Dec 19'!$K23</f>
        <v>0</v>
      </c>
      <c r="L23" s="149">
        <f>'Jan 19'!$L23+'Feb 19'!$L23+'Mar 19'!$L23+'Apr 19'!$L23+'May 19'!$L23+'Jun 19'!$L23+'Jul 19'!$L23+'Aug 19'!$L23+'Sept 19'!$L23+'Oct 19'!$L23+'Nov 19'!$L23+'Dec 19'!$L23</f>
        <v>0</v>
      </c>
      <c r="M23" s="149">
        <f>'Jan 19'!$M23+'Feb 19'!$M23+'Mar 19'!$M23+'Apr 19'!$M23+'May 19'!$M23+'Jun 19'!$M23+'Jul 19'!$M23+'Aug 19'!$M23+'Sept 19'!$M23+'Oct 19'!$M23+'Nov 19'!$M23+'Dec 19'!$M23</f>
        <v>0</v>
      </c>
      <c r="N23" s="151">
        <f t="shared" si="0"/>
        <v>11123.019999999999</v>
      </c>
    </row>
    <row r="24" spans="1:14" s="126" customFormat="1" ht="20.25" customHeight="1">
      <c r="A24" s="148" t="s">
        <v>27</v>
      </c>
      <c r="B24" s="149">
        <f>'Jan 19'!$B24+'Feb 19'!$B24+'Mar 19'!$B24+'Apr 19'!$B24+'May 19'!$B24+'Jun 19'!$B24+'Jul 19'!$B24+'Aug 19'!$B24+'Sept 19'!$B24+'Oct 19'!$B24+'Nov 19'!$B24+'Dec 19'!$B24</f>
        <v>2208.85</v>
      </c>
      <c r="C24" s="149">
        <f>'Jan 19'!$C24+'Feb 19'!$C24+'Mar 19'!$C24+'Apr 19'!$C24+'May 19'!$C24+'Jun 19'!$C24+'Jul 19'!$C24+'Aug 19'!$C24+'Sept 19'!$C24+'Oct 19'!$C24+'Nov 19'!$C24+'Dec 19'!$C24</f>
        <v>7519.959999999999</v>
      </c>
      <c r="D24" s="149">
        <f>'Jan 19'!$D24+'Feb 19'!$D24+'Mar 19'!$D24+'Apr 19'!$D24+'May 19'!$D24+'Jun 19'!$D24+'Jul 19'!$D24+'Aug 19'!$D24+'Sept 19'!$D24+'Oct 19'!$D24+'Nov 19'!$D24+'Dec 19'!$D24</f>
        <v>0</v>
      </c>
      <c r="E24" s="150">
        <f>'Jan 19'!$E24+'Feb 19'!$E24+'Mar 19'!$E24+'Apr 19'!$E24+'May 19'!$E24+'Jun 19'!$E24+'Jul 19'!$E24+'Aug 19'!$E24+'Sept 19'!$E24+'Oct 19'!$E24+'Nov 19'!$E24+'Dec 19'!$E24</f>
        <v>0</v>
      </c>
      <c r="F24" s="149">
        <f>'Jan 19'!$F24+'Feb 19'!$F24+'Mar 19'!$F24+'Apr 19'!$F24+'May 19'!$F24+'Jun 19'!$F24+'Jul 19'!$F24+'Aug 19'!$F24+'Sept 19'!$F24+'Oct 19'!$F24+'Nov 19'!$F24+'Dec 19'!$F24</f>
        <v>0</v>
      </c>
      <c r="G24" s="149">
        <f>'Jan 19'!$G24+'Feb 19'!$G24+'Mar 19'!$G24+'Apr 19'!$G24+'May 19'!$G24+'Jun 19'!$G24+'Jul 19'!$G24+'Aug 19'!$G24+'Sept 19'!$G24+'Oct 19'!$G24+'Nov 19'!$G24+'Dec 19'!$G24</f>
        <v>0</v>
      </c>
      <c r="H24" s="149">
        <f>'Jan 19'!$H24+'Feb 19'!$H24+'Mar 19'!$H24+'Apr 19'!$H24+'May 19'!$H24+'Jun 19'!$H24+'Jul 19'!$H24+'Aug 19'!$H24+'Sept 19'!$H24+'Oct 19'!$H24+'Nov 19'!$H24+'Dec 19'!$H24</f>
        <v>0</v>
      </c>
      <c r="I24" s="149">
        <f>'Jan 19'!$I24+'Feb 19'!$I24+'Mar 19'!$I24+'Apr 19'!$I24+'May 19'!$I24+'Jun 19'!$I24+'Jul 19'!$I24+'Aug 19'!$I24+'Sept 19'!$I24+'Oct 19'!$I24+'Nov 19'!$I24+'Dec 19'!$I24</f>
        <v>0</v>
      </c>
      <c r="J24" s="149">
        <f>'Jan 19'!$J24+'Feb 19'!$J24+'Mar 19'!$J24+'Apr 19'!$J24+'May 19'!$J24+'Jun 19'!$J24+'Jul 19'!$J24+'Aug 19'!$J24+'Sept 19'!$J24+'Oct 19'!$J24+'Nov 19'!$J24+'Dec 19'!$J24</f>
        <v>0</v>
      </c>
      <c r="K24" s="149">
        <f>'Jan 19'!$K24+'Feb 19'!$K24+'Mar 19'!$K24+'Apr 19'!$K24+'May 19'!$K24+'Jun 19'!$K24+'Jul 19'!$K24+'Aug 19'!$K24+'Sept 19'!$K24+'Oct 19'!$K24+'Nov 19'!$K24+'Dec 19'!$K24</f>
        <v>0</v>
      </c>
      <c r="L24" s="149">
        <f>'Jan 19'!$L24+'Feb 19'!$L24+'Mar 19'!$L24+'Apr 19'!$L24+'May 19'!$L24+'Jun 19'!$L24+'Jul 19'!$L24+'Aug 19'!$L24+'Sept 19'!$L24+'Oct 19'!$L24+'Nov 19'!$L24+'Dec 19'!$L24</f>
        <v>0</v>
      </c>
      <c r="M24" s="149">
        <f>'Jan 19'!$M24+'Feb 19'!$M24+'Mar 19'!$M24+'Apr 19'!$M24+'May 19'!$M24+'Jun 19'!$M24+'Jul 19'!$M24+'Aug 19'!$M24+'Sept 19'!$M24+'Oct 19'!$M24+'Nov 19'!$M24+'Dec 19'!$M24</f>
        <v>0</v>
      </c>
      <c r="N24" s="151">
        <f t="shared" si="0"/>
        <v>9728.81</v>
      </c>
    </row>
    <row r="25" spans="1:14" s="126" customFormat="1" ht="20.25" customHeight="1">
      <c r="A25" s="127" t="s">
        <v>28</v>
      </c>
      <c r="B25" s="149">
        <f>'Jan 19'!$B25+'Feb 19'!$B25+'Mar 19'!$B25+'Apr 19'!$B25+'May 19'!$B25+'Jun 19'!$B25+'Jul 19'!$B25+'Aug 19'!$B25+'Sept 19'!$B25+'Oct 19'!$B25+'Nov 19'!$B25+'Dec 19'!$B25</f>
        <v>1238.29</v>
      </c>
      <c r="C25" s="149">
        <f>'Jan 19'!$C25+'Feb 19'!$C25+'Mar 19'!$C25+'Apr 19'!$C25+'May 19'!$C25+'Jun 19'!$C25+'Jul 19'!$C25+'Aug 19'!$C25+'Sept 19'!$C25+'Oct 19'!$C25+'Nov 19'!$C25+'Dec 19'!$C25</f>
        <v>7519.959999999999</v>
      </c>
      <c r="D25" s="149">
        <f>'Jan 19'!$D25+'Feb 19'!$D25+'Mar 19'!$D25+'Apr 19'!$D25+'May 19'!$D25+'Jun 19'!$D25+'Jul 19'!$D25+'Aug 19'!$D25+'Sept 19'!$D25+'Oct 19'!$D25+'Nov 19'!$D25+'Dec 19'!$D25</f>
        <v>0</v>
      </c>
      <c r="E25" s="150">
        <f>'Jan 19'!$E25+'Feb 19'!$E25+'Mar 19'!$E25+'Apr 19'!$E25+'May 19'!$E25+'Jun 19'!$E25+'Jul 19'!$E25+'Aug 19'!$E25+'Sept 19'!$E25+'Oct 19'!$E25+'Nov 19'!$E25+'Dec 19'!$E25</f>
        <v>0</v>
      </c>
      <c r="F25" s="149">
        <f>'Jan 19'!$F25+'Feb 19'!$F25+'Mar 19'!$F25+'Apr 19'!$F25+'May 19'!$F25+'Jun 19'!$F25+'Jul 19'!$F25+'Aug 19'!$F25+'Sept 19'!$F25+'Oct 19'!$F25+'Nov 19'!$F25+'Dec 19'!$F25</f>
        <v>0</v>
      </c>
      <c r="G25" s="149">
        <f>'Jan 19'!$G25+'Feb 19'!$G25+'Mar 19'!$G25+'Apr 19'!$G25+'May 19'!$G25+'Jun 19'!$G25+'Jul 19'!$G25+'Aug 19'!$G25+'Sept 19'!$G25+'Oct 19'!$G25+'Nov 19'!$G25+'Dec 19'!$G25</f>
        <v>0</v>
      </c>
      <c r="H25" s="149">
        <f>'Jan 19'!$H25+'Feb 19'!$H25+'Mar 19'!$H25+'Apr 19'!$H25+'May 19'!$H25+'Jun 19'!$H25+'Jul 19'!$H25+'Aug 19'!$H25+'Sept 19'!$H25+'Oct 19'!$H25+'Nov 19'!$H25+'Dec 19'!$H25</f>
        <v>0</v>
      </c>
      <c r="I25" s="149">
        <f>'Jan 19'!$I25+'Feb 19'!$I25+'Mar 19'!$I25+'Apr 19'!$I25+'May 19'!$I25+'Jun 19'!$I25+'Jul 19'!$I25+'Aug 19'!$I25+'Sept 19'!$I25+'Oct 19'!$I25+'Nov 19'!$I25+'Dec 19'!$I25</f>
        <v>0</v>
      </c>
      <c r="J25" s="149">
        <f>'Jan 19'!$J25+'Feb 19'!$J25+'Mar 19'!$J25+'Apr 19'!$J25+'May 19'!$J25+'Jun 19'!$J25+'Jul 19'!$J25+'Aug 19'!$J25+'Sept 19'!$J25+'Oct 19'!$J25+'Nov 19'!$J25+'Dec 19'!$J25</f>
        <v>0</v>
      </c>
      <c r="K25" s="149">
        <f>'Jan 19'!$K25+'Feb 19'!$K25+'Mar 19'!$K25+'Apr 19'!$K25+'May 19'!$K25+'Jun 19'!$K25+'Jul 19'!$K25+'Aug 19'!$K25+'Sept 19'!$K25+'Oct 19'!$K25+'Nov 19'!$K25+'Dec 19'!$K25</f>
        <v>0</v>
      </c>
      <c r="L25" s="149">
        <f>'Jan 19'!$L25+'Feb 19'!$L25+'Mar 19'!$L25+'Apr 19'!$L25+'May 19'!$L25+'Jun 19'!$L25+'Jul 19'!$L25+'Aug 19'!$L25+'Sept 19'!$L25+'Oct 19'!$L25+'Nov 19'!$L25+'Dec 19'!$L25</f>
        <v>2344.03</v>
      </c>
      <c r="M25" s="149">
        <f>'Jan 19'!$M25+'Feb 19'!$M25+'Mar 19'!$M25+'Apr 19'!$M25+'May 19'!$M25+'Jun 19'!$M25+'Jul 19'!$M25+'Aug 19'!$M25+'Sept 19'!$M25+'Oct 19'!$M25+'Nov 19'!$M25+'Dec 19'!$M25</f>
        <v>0</v>
      </c>
      <c r="N25" s="151">
        <f t="shared" si="0"/>
        <v>11102.28</v>
      </c>
    </row>
    <row r="26" spans="1:14" s="126" customFormat="1" ht="20.25" customHeight="1">
      <c r="A26" s="148" t="s">
        <v>29</v>
      </c>
      <c r="B26" s="149">
        <f>'Jan 19'!$B26+'Feb 19'!$B26+'Mar 19'!$B26+'Apr 19'!$B26+'May 19'!$B26+'Jun 19'!$B26+'Jul 19'!$B26+'Aug 19'!$B26+'Sept 19'!$B26+'Oct 19'!$B26+'Nov 19'!$B26+'Dec 19'!$B26</f>
        <v>6204.89</v>
      </c>
      <c r="C26" s="149">
        <f>'Jan 19'!$C26+'Feb 19'!$C26+'Mar 19'!$C26+'Apr 19'!$C26+'May 19'!$C26+'Jun 19'!$C26+'Jul 19'!$C26+'Aug 19'!$C26+'Sept 19'!$C26+'Oct 19'!$C26+'Nov 19'!$C26+'Dec 19'!$C26</f>
        <v>17093.34</v>
      </c>
      <c r="D26" s="149">
        <f>'Jan 19'!$D26+'Feb 19'!$D26+'Mar 19'!$D26+'Apr 19'!$D26+'May 19'!$D26+'Jun 19'!$D26+'Jul 19'!$D26+'Aug 19'!$D26+'Sept 19'!$D26+'Oct 19'!$D26+'Nov 19'!$D26+'Dec 19'!$D26</f>
        <v>0</v>
      </c>
      <c r="E26" s="150">
        <f>'Jan 19'!$E26+'Feb 19'!$E26+'Mar 19'!$E26+'Apr 19'!$E26+'May 19'!$E26+'Jun 19'!$E26+'Jul 19'!$E26+'Aug 19'!$E26+'Sept 19'!$E26+'Oct 19'!$E26+'Nov 19'!$E26+'Dec 19'!$E26</f>
        <v>0</v>
      </c>
      <c r="F26" s="149">
        <f>'Jan 19'!$F26+'Feb 19'!$F26+'Mar 19'!$F26+'Apr 19'!$F26+'May 19'!$F26+'Jun 19'!$F26+'Jul 19'!$F26+'Aug 19'!$F26+'Sept 19'!$F26+'Oct 19'!$F26+'Nov 19'!$F26+'Dec 19'!$F26</f>
        <v>0</v>
      </c>
      <c r="G26" s="149">
        <f>'Jan 19'!$G26+'Feb 19'!$G26+'Mar 19'!$G26+'Apr 19'!$G26+'May 19'!$G26+'Jun 19'!$G26+'Jul 19'!$G26+'Aug 19'!$G26+'Sept 19'!$G26+'Oct 19'!$G26+'Nov 19'!$G26+'Dec 19'!$G26</f>
        <v>0</v>
      </c>
      <c r="H26" s="149">
        <f>'Jan 19'!$H26+'Feb 19'!$H26+'Mar 19'!$H26+'Apr 19'!$H26+'May 19'!$H26+'Jun 19'!$H26+'Jul 19'!$H26+'Aug 19'!$H26+'Sept 19'!$H26+'Oct 19'!$H26+'Nov 19'!$H26+'Dec 19'!$H26</f>
        <v>0</v>
      </c>
      <c r="I26" s="149">
        <f>'Jan 19'!$I26+'Feb 19'!$I26+'Mar 19'!$I26+'Apr 19'!$I26+'May 19'!$I26+'Jun 19'!$I26+'Jul 19'!$I26+'Aug 19'!$I26+'Sept 19'!$I26+'Oct 19'!$I26+'Nov 19'!$I26+'Dec 19'!$I26</f>
        <v>0</v>
      </c>
      <c r="J26" s="149">
        <f>'Jan 19'!$J26+'Feb 19'!$J26+'Mar 19'!$J26+'Apr 19'!$J26+'May 19'!$J26+'Jun 19'!$J26+'Jul 19'!$J26+'Aug 19'!$J26+'Sept 19'!$J26+'Oct 19'!$J26+'Nov 19'!$J26+'Dec 19'!$J26</f>
        <v>0</v>
      </c>
      <c r="K26" s="149">
        <f>'Jan 19'!$K26+'Feb 19'!$K26+'Mar 19'!$K26+'Apr 19'!$K26+'May 19'!$K26+'Jun 19'!$K26+'Jul 19'!$K26+'Aug 19'!$K26+'Sept 19'!$K26+'Oct 19'!$K26+'Nov 19'!$K26+'Dec 19'!$K26</f>
        <v>0</v>
      </c>
      <c r="L26" s="149">
        <f>'Jan 19'!$L26+'Feb 19'!$L26+'Mar 19'!$L26+'Apr 19'!$L26+'May 19'!$L26+'Jun 19'!$L26+'Jul 19'!$L26+'Aug 19'!$L26+'Sept 19'!$L26+'Oct 19'!$L26+'Nov 19'!$L26+'Dec 19'!$L26</f>
        <v>0</v>
      </c>
      <c r="M26" s="149">
        <f>'Jan 19'!$M26+'Feb 19'!$M26+'Mar 19'!$M26+'Apr 19'!$M26+'May 19'!$M26+'Jun 19'!$M26+'Jul 19'!$M26+'Aug 19'!$M26+'Sept 19'!$M26+'Oct 19'!$M26+'Nov 19'!$M26+'Dec 19'!$M26</f>
        <v>0</v>
      </c>
      <c r="N26" s="151">
        <f t="shared" si="0"/>
        <v>23298.23</v>
      </c>
    </row>
    <row r="27" spans="1:14" s="126" customFormat="1" ht="20.25" customHeight="1">
      <c r="A27" s="148" t="s">
        <v>31</v>
      </c>
      <c r="B27" s="149">
        <f>'Jan 19'!$B27+'Feb 19'!$B27+'Mar 19'!$B27+'Apr 19'!$B27+'May 19'!$B27+'Jun 19'!$B27+'Jul 19'!$B27+'Aug 19'!$B27+'Sept 19'!$B27+'Oct 19'!$B27+'Nov 19'!$B27+'Dec 19'!$B27</f>
        <v>2479.55</v>
      </c>
      <c r="C27" s="149">
        <f>'Jan 19'!$C27+'Feb 19'!$C27+'Mar 19'!$C27+'Apr 19'!$C27+'May 19'!$C27+'Jun 19'!$C27+'Jul 19'!$C27+'Aug 19'!$C27+'Sept 19'!$C27+'Oct 19'!$C27+'Nov 19'!$C27+'Dec 19'!$C27</f>
        <v>7519.959999999999</v>
      </c>
      <c r="D27" s="149">
        <f>'Jan 19'!$D27+'Feb 19'!$D27+'Mar 19'!$D27+'Apr 19'!$D27+'May 19'!$D27+'Jun 19'!$D27+'Jul 19'!$D27+'Aug 19'!$D27+'Sept 19'!$D27+'Oct 19'!$D27+'Nov 19'!$D27+'Dec 19'!$D27</f>
        <v>362.22</v>
      </c>
      <c r="E27" s="150">
        <f>'Jan 19'!$E27+'Feb 19'!$E27+'Mar 19'!$E27+'Apr 19'!$E27+'May 19'!$E27+'Jun 19'!$E27+'Jul 19'!$E27+'Aug 19'!$E27+'Sept 19'!$E27+'Oct 19'!$E27+'Nov 19'!$E27+'Dec 19'!$E27</f>
        <v>1657.8500000000004</v>
      </c>
      <c r="F27" s="149">
        <f>'Jan 19'!$F27+'Feb 19'!$F27+'Mar 19'!$F27+'Apr 19'!$F27+'May 19'!$F27+'Jun 19'!$F27+'Jul 19'!$F27+'Aug 19'!$F27+'Sept 19'!$F27+'Oct 19'!$F27+'Nov 19'!$F27+'Dec 19'!$F27</f>
        <v>0</v>
      </c>
      <c r="G27" s="149">
        <f>'Jan 19'!$G27+'Feb 19'!$G27+'Mar 19'!$G27+'Apr 19'!$G27+'May 19'!$G27+'Jun 19'!$G27+'Jul 19'!$G27+'Aug 19'!$G27+'Sept 19'!$G27+'Oct 19'!$G27+'Nov 19'!$G27+'Dec 19'!$G27</f>
        <v>0</v>
      </c>
      <c r="H27" s="149">
        <f>'Jan 19'!$H27+'Feb 19'!$H27+'Mar 19'!$H27+'Apr 19'!$H27+'May 19'!$H27+'Jun 19'!$H27+'Jul 19'!$H27+'Aug 19'!$H27+'Sept 19'!$H27+'Oct 19'!$H27+'Nov 19'!$H27+'Dec 19'!$H27</f>
        <v>0</v>
      </c>
      <c r="I27" s="149">
        <f>'Jan 19'!$I27+'Feb 19'!$I27+'Mar 19'!$I27+'Apr 19'!$I27+'May 19'!$I27+'Jun 19'!$I27+'Jul 19'!$I27+'Aug 19'!$I27+'Sept 19'!$I27+'Oct 19'!$I27+'Nov 19'!$I27+'Dec 19'!$I27</f>
        <v>0</v>
      </c>
      <c r="J27" s="149">
        <f>'Jan 19'!$J27+'Feb 19'!$J27+'Mar 19'!$J27+'Apr 19'!$J27+'May 19'!$J27+'Jun 19'!$J27+'Jul 19'!$J27+'Aug 19'!$J27+'Sept 19'!$J27+'Oct 19'!$J27+'Nov 19'!$J27+'Dec 19'!$J27</f>
        <v>0</v>
      </c>
      <c r="K27" s="149">
        <f>'Jan 19'!$K27+'Feb 19'!$K27+'Mar 19'!$K27+'Apr 19'!$K27+'May 19'!$K27+'Jun 19'!$K27+'Jul 19'!$K27+'Aug 19'!$K27+'Sept 19'!$K27+'Oct 19'!$K27+'Nov 19'!$K27+'Dec 19'!$K27</f>
        <v>0</v>
      </c>
      <c r="L27" s="149">
        <f>'Jan 19'!$L27+'Feb 19'!$L27+'Mar 19'!$L27+'Apr 19'!$L27+'May 19'!$L27+'Jun 19'!$L27+'Jul 19'!$L27+'Aug 19'!$L27+'Sept 19'!$L27+'Oct 19'!$L27+'Nov 19'!$L27+'Dec 19'!$L27</f>
        <v>0</v>
      </c>
      <c r="M27" s="149">
        <f>'Jan 19'!$M27+'Feb 19'!$M27+'Mar 19'!$M27+'Apr 19'!$M27+'May 19'!$M27+'Jun 19'!$M27+'Jul 19'!$M27+'Aug 19'!$M27+'Sept 19'!$M27+'Oct 19'!$M27+'Nov 19'!$M27+'Dec 19'!$M27</f>
        <v>0</v>
      </c>
      <c r="N27" s="151">
        <f t="shared" si="0"/>
        <v>12019.579999999998</v>
      </c>
    </row>
    <row r="28" spans="1:14" s="126" customFormat="1" ht="20.25" customHeight="1">
      <c r="A28" s="127" t="s">
        <v>32</v>
      </c>
      <c r="B28" s="149">
        <f>'Jan 19'!$B28+'Feb 19'!$B28+'Mar 19'!$B28+'Apr 19'!$B28+'May 19'!$B28+'Jun 19'!$B28+'Jul 19'!$B28+'Aug 19'!$B28+'Sept 19'!$B28+'Oct 19'!$B28+'Nov 19'!$B28+'Dec 19'!$B28</f>
        <v>4332.5</v>
      </c>
      <c r="C28" s="149">
        <f>'Jan 19'!$C28+'Feb 19'!$C28+'Mar 19'!$C28+'Apr 19'!$C28+'May 19'!$C28+'Jun 19'!$C28+'Jul 19'!$C28+'Aug 19'!$C28+'Sept 19'!$C28+'Oct 19'!$C28+'Nov 19'!$C28+'Dec 19'!$C28</f>
        <v>17093.34</v>
      </c>
      <c r="D28" s="149">
        <f>'Jan 19'!$D28+'Feb 19'!$D28+'Mar 19'!$D28+'Apr 19'!$D28+'May 19'!$D28+'Jun 19'!$D28+'Jul 19'!$D28+'Aug 19'!$D28+'Sept 19'!$D28+'Oct 19'!$D28+'Nov 19'!$D28+'Dec 19'!$D28</f>
        <v>0</v>
      </c>
      <c r="E28" s="150">
        <f>'Jan 19'!$E28+'Feb 19'!$E28+'Mar 19'!$E28+'Apr 19'!$E28+'May 19'!$E28+'Jun 19'!$E28+'Jul 19'!$E28+'Aug 19'!$E28+'Sept 19'!$E28+'Oct 19'!$E28+'Nov 19'!$E28+'Dec 19'!$E28</f>
        <v>0</v>
      </c>
      <c r="F28" s="149">
        <f>'Jan 19'!$F28+'Feb 19'!$F28+'Mar 19'!$F28+'Apr 19'!$F28+'May 19'!$F28+'Jun 19'!$F28+'Jul 19'!$F28+'Aug 19'!$F28+'Sept 19'!$F28+'Oct 19'!$F28+'Nov 19'!$F28+'Dec 19'!$F28</f>
        <v>0</v>
      </c>
      <c r="G28" s="149">
        <f>'Jan 19'!$G28+'Feb 19'!$G28+'Mar 19'!$G28+'Apr 19'!$G28+'May 19'!$G28+'Jun 19'!$G28+'Jul 19'!$G28+'Aug 19'!$G28+'Sept 19'!$G28+'Oct 19'!$G28+'Nov 19'!$G28+'Dec 19'!$G28</f>
        <v>0</v>
      </c>
      <c r="H28" s="149">
        <f>'Jan 19'!$H28+'Feb 19'!$H28+'Mar 19'!$H28+'Apr 19'!$H28+'May 19'!$H28+'Jun 19'!$H28+'Jul 19'!$H28+'Aug 19'!$H28+'Sept 19'!$H28+'Oct 19'!$H28+'Nov 19'!$H28+'Dec 19'!$H28</f>
        <v>0</v>
      </c>
      <c r="I28" s="149">
        <f>'Jan 19'!$I28+'Feb 19'!$I28+'Mar 19'!$I28+'Apr 19'!$I28+'May 19'!$I28+'Jun 19'!$I28+'Jul 19'!$I28+'Aug 19'!$I28+'Sept 19'!$I28+'Oct 19'!$I28+'Nov 19'!$I28+'Dec 19'!$I28</f>
        <v>0</v>
      </c>
      <c r="J28" s="149">
        <f>'Jan 19'!$J28+'Feb 19'!$J28+'Mar 19'!$J28+'Apr 19'!$J28+'May 19'!$J28+'Jun 19'!$J28+'Jul 19'!$J28+'Aug 19'!$J28+'Sept 19'!$J28+'Oct 19'!$J28+'Nov 19'!$J28+'Dec 19'!$J28</f>
        <v>0</v>
      </c>
      <c r="K28" s="149">
        <f>'Jan 19'!$K28+'Feb 19'!$K28+'Mar 19'!$K28+'Apr 19'!$K28+'May 19'!$K28+'Jun 19'!$K28+'Jul 19'!$K28+'Aug 19'!$K28+'Sept 19'!$K28+'Oct 19'!$K28+'Nov 19'!$K28+'Dec 19'!$K28</f>
        <v>0</v>
      </c>
      <c r="L28" s="149">
        <f>'Jan 19'!$L28+'Feb 19'!$L28+'Mar 19'!$L28+'Apr 19'!$L28+'May 19'!$L28+'Jun 19'!$L28+'Jul 19'!$L28+'Aug 19'!$L28+'Sept 19'!$L28+'Oct 19'!$L28+'Nov 19'!$L28+'Dec 19'!$L28</f>
        <v>0</v>
      </c>
      <c r="M28" s="149">
        <f>'Jan 19'!$M28+'Feb 19'!$M28+'Mar 19'!$M28+'Apr 19'!$M28+'May 19'!$M28+'Jun 19'!$M28+'Jul 19'!$M28+'Aug 19'!$M28+'Sept 19'!$M28+'Oct 19'!$M28+'Nov 19'!$M28+'Dec 19'!$M28</f>
        <v>0</v>
      </c>
      <c r="N28" s="151">
        <f t="shared" si="0"/>
        <v>21425.84</v>
      </c>
    </row>
    <row r="29" spans="1:14" s="126" customFormat="1" ht="20.25" customHeight="1">
      <c r="A29" s="148" t="s">
        <v>33</v>
      </c>
      <c r="B29" s="149">
        <f>'Jan 19'!$B29+'Feb 19'!$B29+'Mar 19'!$B29+'Apr 19'!$B29+'May 19'!$B29+'Jun 19'!$B29+'Jul 19'!$B29+'Aug 19'!$B29+'Sept 19'!$B29+'Oct 19'!$B29+'Nov 19'!$B29+'Dec 19'!$B29</f>
        <v>3701.1900000000005</v>
      </c>
      <c r="C29" s="149">
        <f>'Jan 19'!$C29+'Feb 19'!$C29+'Mar 19'!$C29+'Apr 19'!$C29+'May 19'!$C29+'Jun 19'!$C29+'Jul 19'!$C29+'Aug 19'!$C29+'Sept 19'!$C29+'Oct 19'!$C29+'Nov 19'!$C29+'Dec 19'!$C29</f>
        <v>17093.34</v>
      </c>
      <c r="D29" s="149">
        <f>'Jan 19'!$D29+'Feb 19'!$D29+'Mar 19'!$D29+'Apr 19'!$D29+'May 19'!$D29+'Jun 19'!$D29+'Jul 19'!$D29+'Aug 19'!$D29+'Sept 19'!$D29+'Oct 19'!$D29+'Nov 19'!$D29+'Dec 19'!$D29</f>
        <v>0</v>
      </c>
      <c r="E29" s="150">
        <f>'Jan 19'!$E29+'Feb 19'!$E29+'Mar 19'!$E29+'Apr 19'!$E29+'May 19'!$E29+'Jun 19'!$E29+'Jul 19'!$E29+'Aug 19'!$E29+'Sept 19'!$E29+'Oct 19'!$E29+'Nov 19'!$E29+'Dec 19'!$E29</f>
        <v>0</v>
      </c>
      <c r="F29" s="149">
        <f>'Jan 19'!$F29+'Feb 19'!$F29+'Mar 19'!$F29+'Apr 19'!$F29+'May 19'!$F29+'Jun 19'!$F29+'Jul 19'!$F29+'Aug 19'!$F29+'Sept 19'!$F29+'Oct 19'!$F29+'Nov 19'!$F29+'Dec 19'!$F29</f>
        <v>0</v>
      </c>
      <c r="G29" s="149">
        <f>'Jan 19'!$G29+'Feb 19'!$G29+'Mar 19'!$G29+'Apr 19'!$G29+'May 19'!$G29+'Jun 19'!$G29+'Jul 19'!$G29+'Aug 19'!$G29+'Sept 19'!$G29+'Oct 19'!$G29+'Nov 19'!$G29+'Dec 19'!$G29</f>
        <v>0</v>
      </c>
      <c r="H29" s="149">
        <f>'Jan 19'!$H29+'Feb 19'!$H29+'Mar 19'!$H29+'Apr 19'!$H29+'May 19'!$H29+'Jun 19'!$H29+'Jul 19'!$H29+'Aug 19'!$H29+'Sept 19'!$H29+'Oct 19'!$H29+'Nov 19'!$H29+'Dec 19'!$H29</f>
        <v>0</v>
      </c>
      <c r="I29" s="149">
        <f>'Jan 19'!$I29+'Feb 19'!$I29+'Mar 19'!$I29+'Apr 19'!$I29+'May 19'!$I29+'Jun 19'!$I29+'Jul 19'!$I29+'Aug 19'!$I29+'Sept 19'!$I29+'Oct 19'!$I29+'Nov 19'!$I29+'Dec 19'!$I29</f>
        <v>0</v>
      </c>
      <c r="J29" s="149">
        <f>'Jan 19'!$J29+'Feb 19'!$J29+'Mar 19'!$J29+'Apr 19'!$J29+'May 19'!$J29+'Jun 19'!$J29+'Jul 19'!$J29+'Aug 19'!$J29+'Sept 19'!$J29+'Oct 19'!$J29+'Nov 19'!$J29+'Dec 19'!$J29</f>
        <v>0</v>
      </c>
      <c r="K29" s="149">
        <f>'Jan 19'!$K29+'Feb 19'!$K29+'Mar 19'!$K29+'Apr 19'!$K29+'May 19'!$K29+'Jun 19'!$K29+'Jul 19'!$K29+'Aug 19'!$K29+'Sept 19'!$K29+'Oct 19'!$K29+'Nov 19'!$K29+'Dec 19'!$K29</f>
        <v>0</v>
      </c>
      <c r="L29" s="149">
        <f>'Jan 19'!$L29+'Feb 19'!$L29+'Mar 19'!$L29+'Apr 19'!$L29+'May 19'!$L29+'Jun 19'!$L29+'Jul 19'!$L29+'Aug 19'!$L29+'Sept 19'!$L29+'Oct 19'!$L29+'Nov 19'!$L29+'Dec 19'!$L29</f>
        <v>0</v>
      </c>
      <c r="M29" s="149">
        <f>'Jan 19'!$M29+'Feb 19'!$M29+'Mar 19'!$M29+'Apr 19'!$M29+'May 19'!$M29+'Jun 19'!$M29+'Jul 19'!$M29+'Aug 19'!$M29+'Sept 19'!$M29+'Oct 19'!$M29+'Nov 19'!$M29+'Dec 19'!$M29</f>
        <v>0</v>
      </c>
      <c r="N29" s="151">
        <f t="shared" si="0"/>
        <v>20794.53</v>
      </c>
    </row>
    <row r="30" spans="1:14" s="126" customFormat="1" ht="20.25" customHeight="1">
      <c r="A30" s="127" t="s">
        <v>34</v>
      </c>
      <c r="B30" s="149">
        <f>'Jan 19'!$B30+'Feb 19'!$B30+'Mar 19'!$B30+'Apr 19'!$B30+'May 19'!$B30+'Jun 19'!$B30+'Jul 19'!$B30+'Aug 19'!$B30+'Sept 19'!$B30+'Oct 19'!$B30+'Nov 19'!$B30+'Dec 19'!$B30</f>
        <v>2444.55</v>
      </c>
      <c r="C30" s="149">
        <f>'Jan 19'!$C30+'Feb 19'!$C30+'Mar 19'!$C30+'Apr 19'!$C30+'May 19'!$C30+'Jun 19'!$C30+'Jul 19'!$C30+'Aug 19'!$C30+'Sept 19'!$C30+'Oct 19'!$C30+'Nov 19'!$C30+'Dec 19'!$C30</f>
        <v>7519.959999999999</v>
      </c>
      <c r="D30" s="149">
        <f>'Jan 19'!$D30+'Feb 19'!$D30+'Mar 19'!$D30+'Apr 19'!$D30+'May 19'!$D30+'Jun 19'!$D30+'Jul 19'!$D30+'Aug 19'!$D30+'Sept 19'!$D30+'Oct 19'!$D30+'Nov 19'!$D30+'Dec 19'!$D30</f>
        <v>0</v>
      </c>
      <c r="E30" s="150">
        <f>'Jan 19'!$E30+'Feb 19'!$E30+'Mar 19'!$E30+'Apr 19'!$E30+'May 19'!$E30+'Jun 19'!$E30+'Jul 19'!$E30+'Aug 19'!$E30+'Sept 19'!$E30+'Oct 19'!$E30+'Nov 19'!$E30+'Dec 19'!$E30</f>
        <v>582.51</v>
      </c>
      <c r="F30" s="149">
        <f>'Jan 19'!$F30+'Feb 19'!$F30+'Mar 19'!$F30+'Apr 19'!$F30+'May 19'!$F30+'Jun 19'!$F30+'Jul 19'!$F30+'Aug 19'!$F30+'Sept 19'!$F30+'Oct 19'!$F30+'Nov 19'!$F30+'Dec 19'!$F30</f>
        <v>0</v>
      </c>
      <c r="G30" s="149">
        <f>'Jan 19'!$G30+'Feb 19'!$G30+'Mar 19'!$G30+'Apr 19'!$G30+'May 19'!$G30+'Jun 19'!$G30+'Jul 19'!$G30+'Aug 19'!$G30+'Sept 19'!$G30+'Oct 19'!$G30+'Nov 19'!$G30+'Dec 19'!$G30</f>
        <v>0</v>
      </c>
      <c r="H30" s="149">
        <f>'Jan 19'!$H30+'Feb 19'!$H30+'Mar 19'!$H30+'Apr 19'!$H30+'May 19'!$H30+'Jun 19'!$H30+'Jul 19'!$H30+'Aug 19'!$H30+'Sept 19'!$H30+'Oct 19'!$H30+'Nov 19'!$H30+'Dec 19'!$H30</f>
        <v>0</v>
      </c>
      <c r="I30" s="149">
        <f>'Jan 19'!$I30+'Feb 19'!$I30+'Mar 19'!$I30+'Apr 19'!$I30+'May 19'!$I30+'Jun 19'!$I30+'Jul 19'!$I30+'Aug 19'!$I30+'Sept 19'!$I30+'Oct 19'!$I30+'Nov 19'!$I30+'Dec 19'!$I30</f>
        <v>0</v>
      </c>
      <c r="J30" s="149">
        <f>'Jan 19'!$J30+'Feb 19'!$J30+'Mar 19'!$J30+'Apr 19'!$J30+'May 19'!$J30+'Jun 19'!$J30+'Jul 19'!$J30+'Aug 19'!$J30+'Sept 19'!$J30+'Oct 19'!$J30+'Nov 19'!$J30+'Dec 19'!$J30</f>
        <v>0</v>
      </c>
      <c r="K30" s="149">
        <f>'Jan 19'!$K30+'Feb 19'!$K30+'Mar 19'!$K30+'Apr 19'!$K30+'May 19'!$K30+'Jun 19'!$K30+'Jul 19'!$K30+'Aug 19'!$K30+'Sept 19'!$K30+'Oct 19'!$K30+'Nov 19'!$K30+'Dec 19'!$K30</f>
        <v>0</v>
      </c>
      <c r="L30" s="149">
        <f>'Jan 19'!$L30+'Feb 19'!$L30+'Mar 19'!$L30+'Apr 19'!$L30+'May 19'!$L30+'Jun 19'!$L30+'Jul 19'!$L30+'Aug 19'!$L30+'Sept 19'!$L30+'Oct 19'!$L30+'Nov 19'!$L30+'Dec 19'!$L30</f>
        <v>153.69</v>
      </c>
      <c r="M30" s="149">
        <f>'Jan 19'!$M30+'Feb 19'!$M30+'Mar 19'!$M30+'Apr 19'!$M30+'May 19'!$M30+'Jun 19'!$M30+'Jul 19'!$M30+'Aug 19'!$M30+'Sept 19'!$M30+'Oct 19'!$M30+'Nov 19'!$M30+'Dec 19'!$M30</f>
        <v>2500</v>
      </c>
      <c r="N30" s="151">
        <f t="shared" si="0"/>
        <v>13200.71</v>
      </c>
    </row>
    <row r="31" spans="1:14" s="126" customFormat="1" ht="20.25" customHeight="1">
      <c r="A31" s="148" t="s">
        <v>35</v>
      </c>
      <c r="B31" s="149">
        <f>'Jan 19'!$B31+'Feb 19'!$B31+'Mar 19'!$B31+'Apr 19'!$B31+'May 19'!$B31+'Jun 19'!$B31+'Jul 19'!$B31+'Aug 19'!$B31+'Sept 19'!$B31+'Oct 19'!$B31+'Nov 19'!$B31+'Dec 19'!$B31</f>
        <v>5734.020000000001</v>
      </c>
      <c r="C31" s="149">
        <f>'Jan 19'!$C31+'Feb 19'!$C31+'Mar 19'!$C31+'Apr 19'!$C31+'May 19'!$C31+'Jun 19'!$C31+'Jul 19'!$C31+'Aug 19'!$C31+'Sept 19'!$C31+'Oct 19'!$C31+'Nov 19'!$C31+'Dec 19'!$C31</f>
        <v>17093.34</v>
      </c>
      <c r="D31" s="149">
        <f>'Jan 19'!$D31+'Feb 19'!$D31+'Mar 19'!$D31+'Apr 19'!$D31+'May 19'!$D31+'Jun 19'!$D31+'Jul 19'!$D31+'Aug 19'!$D31+'Sept 19'!$D31+'Oct 19'!$D31+'Nov 19'!$D31+'Dec 19'!$D31</f>
        <v>0</v>
      </c>
      <c r="E31" s="150">
        <f>'Jan 19'!$E31+'Feb 19'!$E31+'Mar 19'!$E31+'Apr 19'!$E31+'May 19'!$E31+'Jun 19'!$E31+'Jul 19'!$E31+'Aug 19'!$E31+'Sept 19'!$E31+'Oct 19'!$E31+'Nov 19'!$E31+'Dec 19'!$E31</f>
        <v>0</v>
      </c>
      <c r="F31" s="149">
        <f>'Jan 19'!$F31+'Feb 19'!$F31+'Mar 19'!$F31+'Apr 19'!$F31+'May 19'!$F31+'Jun 19'!$F31+'Jul 19'!$F31+'Aug 19'!$F31+'Sept 19'!$F31+'Oct 19'!$F31+'Nov 19'!$F31+'Dec 19'!$F31</f>
        <v>0</v>
      </c>
      <c r="G31" s="149">
        <f>'Jan 19'!$G31+'Feb 19'!$G31+'Mar 19'!$G31+'Apr 19'!$G31+'May 19'!$G31+'Jun 19'!$G31+'Jul 19'!$G31+'Aug 19'!$G31+'Sept 19'!$G31+'Oct 19'!$G31+'Nov 19'!$G31+'Dec 19'!$G31</f>
        <v>0</v>
      </c>
      <c r="H31" s="149">
        <f>'Jan 19'!$H31+'Feb 19'!$H31+'Mar 19'!$H31+'Apr 19'!$H31+'May 19'!$H31+'Jun 19'!$H31+'Jul 19'!$H31+'Aug 19'!$H31+'Sept 19'!$H31+'Oct 19'!$H31+'Nov 19'!$H31+'Dec 19'!$H31</f>
        <v>0</v>
      </c>
      <c r="I31" s="149">
        <f>'Jan 19'!$I31+'Feb 19'!$I31+'Mar 19'!$I31+'Apr 19'!$I31+'May 19'!$I31+'Jun 19'!$I31+'Jul 19'!$I31+'Aug 19'!$I31+'Sept 19'!$I31+'Oct 19'!$I31+'Nov 19'!$I31+'Dec 19'!$I31</f>
        <v>0</v>
      </c>
      <c r="J31" s="149">
        <f>'Jan 19'!$J31+'Feb 19'!$J31+'Mar 19'!$J31+'Apr 19'!$J31+'May 19'!$J31+'Jun 19'!$J31+'Jul 19'!$J31+'Aug 19'!$J31+'Sept 19'!$J31+'Oct 19'!$J31+'Nov 19'!$J31+'Dec 19'!$J31</f>
        <v>0</v>
      </c>
      <c r="K31" s="149">
        <f>'Jan 19'!$K31+'Feb 19'!$K31+'Mar 19'!$K31+'Apr 19'!$K31+'May 19'!$K31+'Jun 19'!$K31+'Jul 19'!$K31+'Aug 19'!$K31+'Sept 19'!$K31+'Oct 19'!$K31+'Nov 19'!$K31+'Dec 19'!$K31</f>
        <v>300</v>
      </c>
      <c r="L31" s="149">
        <f>'Jan 19'!$L31+'Feb 19'!$L31+'Mar 19'!$L31+'Apr 19'!$L31+'May 19'!$L31+'Jun 19'!$L31+'Jul 19'!$L31+'Aug 19'!$L31+'Sept 19'!$L31+'Oct 19'!$L31+'Nov 19'!$L31+'Dec 19'!$L31</f>
        <v>527.24</v>
      </c>
      <c r="M31" s="149">
        <f>'Jan 19'!$M31+'Feb 19'!$M31+'Mar 19'!$M31+'Apr 19'!$M31+'May 19'!$M31+'Jun 19'!$M31+'Jul 19'!$M31+'Aug 19'!$M31+'Sept 19'!$M31+'Oct 19'!$M31+'Nov 19'!$M31+'Dec 19'!$M31</f>
        <v>0</v>
      </c>
      <c r="N31" s="151">
        <f t="shared" si="0"/>
        <v>23654.600000000002</v>
      </c>
    </row>
    <row r="32" spans="1:14" s="126" customFormat="1" ht="20.25" customHeight="1">
      <c r="A32" s="127" t="s">
        <v>36</v>
      </c>
      <c r="B32" s="149">
        <f>'Jan 19'!$B32+'Feb 19'!$B32+'Mar 19'!$B32+'Apr 19'!$B32+'May 19'!$B32+'Jun 19'!$B32+'Jul 19'!$B32+'Aug 19'!$B32+'Sept 19'!$B32+'Oct 19'!$B32+'Nov 19'!$B32+'Dec 19'!$B32</f>
        <v>5270.719999999999</v>
      </c>
      <c r="C32" s="149">
        <f>'Jan 19'!$C32+'Feb 19'!$C32+'Mar 19'!$C32+'Apr 19'!$C32+'May 19'!$C32+'Jun 19'!$C32+'Jul 19'!$C32+'Aug 19'!$C32+'Sept 19'!$C32+'Oct 19'!$C32+'Nov 19'!$C32+'Dec 19'!$C32</f>
        <v>17093.34</v>
      </c>
      <c r="D32" s="149">
        <f>'Jan 19'!$D32+'Feb 19'!$D32+'Mar 19'!$D32+'Apr 19'!$D32+'May 19'!$D32+'Jun 19'!$D32+'Jul 19'!$D32+'Aug 19'!$D32+'Sept 19'!$D32+'Oct 19'!$D32+'Nov 19'!$D32+'Dec 19'!$D32</f>
        <v>1262.8899999999999</v>
      </c>
      <c r="E32" s="150">
        <f>'Jan 19'!$E32+'Feb 19'!$E32+'Mar 19'!$E32+'Apr 19'!$E32+'May 19'!$E32+'Jun 19'!$E32+'Jul 19'!$E32+'Aug 19'!$E32+'Sept 19'!$E32+'Oct 19'!$E32+'Nov 19'!$E32+'Dec 19'!$E32</f>
        <v>6018.87</v>
      </c>
      <c r="F32" s="149">
        <f>'Jan 19'!$F32+'Feb 19'!$F32+'Mar 19'!$F32+'Apr 19'!$F32+'May 19'!$F32+'Jun 19'!$F32+'Jul 19'!$F32+'Aug 19'!$F32+'Sept 19'!$F32+'Oct 19'!$F32+'Nov 19'!$F32+'Dec 19'!$F32</f>
        <v>3246.8599999999997</v>
      </c>
      <c r="G32" s="149">
        <f>'Jan 19'!$G32+'Feb 19'!$G32+'Mar 19'!$G32+'Apr 19'!$G32+'May 19'!$G32+'Jun 19'!$G32+'Jul 19'!$G32+'Aug 19'!$G32+'Sept 19'!$G32+'Oct 19'!$G32+'Nov 19'!$G32+'Dec 19'!$G32</f>
        <v>0</v>
      </c>
      <c r="H32" s="149">
        <f>'Jan 19'!$H32+'Feb 19'!$H32+'Mar 19'!$H32+'Apr 19'!$H32+'May 19'!$H32+'Jun 19'!$H32+'Jul 19'!$H32+'Aug 19'!$H32+'Sept 19'!$H32+'Oct 19'!$H32+'Nov 19'!$H32+'Dec 19'!$H32</f>
        <v>0</v>
      </c>
      <c r="I32" s="149">
        <f>'Jan 19'!$I32+'Feb 19'!$I32+'Mar 19'!$I32+'Apr 19'!$I32+'May 19'!$I32+'Jun 19'!$I32+'Jul 19'!$I32+'Aug 19'!$I32+'Sept 19'!$I32+'Oct 19'!$I32+'Nov 19'!$I32+'Dec 19'!$I32</f>
        <v>0</v>
      </c>
      <c r="J32" s="149">
        <f>'Jan 19'!$J32+'Feb 19'!$J32+'Mar 19'!$J32+'Apr 19'!$J32+'May 19'!$J32+'Jun 19'!$J32+'Jul 19'!$J32+'Aug 19'!$J32+'Sept 19'!$J32+'Oct 19'!$J32+'Nov 19'!$J32+'Dec 19'!$J32</f>
        <v>0</v>
      </c>
      <c r="K32" s="149">
        <f>'Jan 19'!$K32+'Feb 19'!$K32+'Mar 19'!$K32+'Apr 19'!$K32+'May 19'!$K32+'Jun 19'!$K32+'Jul 19'!$K32+'Aug 19'!$K32+'Sept 19'!$K32+'Oct 19'!$K32+'Nov 19'!$K32+'Dec 19'!$K32</f>
        <v>0</v>
      </c>
      <c r="L32" s="149">
        <f>'Jan 19'!$L32+'Feb 19'!$L32+'Mar 19'!$L32+'Apr 19'!$L32+'May 19'!$L32+'Jun 19'!$L32+'Jul 19'!$L32+'Aug 19'!$L32+'Sept 19'!$L32+'Oct 19'!$L32+'Nov 19'!$L32+'Dec 19'!$L32</f>
        <v>399.04</v>
      </c>
      <c r="M32" s="149">
        <f>'Jan 19'!$M32+'Feb 19'!$M32+'Mar 19'!$M32+'Apr 19'!$M32+'May 19'!$M32+'Jun 19'!$M32+'Jul 19'!$M32+'Aug 19'!$M32+'Sept 19'!$M32+'Oct 19'!$M32+'Nov 19'!$M32+'Dec 19'!$M32</f>
        <v>6000</v>
      </c>
      <c r="N32" s="151">
        <f t="shared" si="0"/>
        <v>39291.719999999994</v>
      </c>
    </row>
    <row r="33" spans="1:14" s="126" customFormat="1" ht="20.25" customHeight="1">
      <c r="A33" s="127" t="s">
        <v>87</v>
      </c>
      <c r="B33" s="149">
        <f>'Jan 19'!$B33+'Feb 19'!$B33+'Mar 19'!$B33+'Apr 19'!$B33+'May 19'!$B33+'Jun 19'!$B33+'Jul 19'!$B33+'Aug 19'!$B33+'Sept 19'!$B33+'Oct 19'!$B33+'Nov 19'!$B33+'Dec 19'!$B33</f>
        <v>2173.85</v>
      </c>
      <c r="C33" s="149">
        <f>'Jan 19'!$C33+'Feb 19'!$C33+'Mar 19'!$C33+'Apr 19'!$C33+'May 19'!$C33+'Jun 19'!$C33+'Jul 19'!$C33+'Aug 19'!$C33+'Sept 19'!$C33+'Oct 19'!$C33+'Nov 19'!$C33+'Dec 19'!$C33</f>
        <v>7519.959999999999</v>
      </c>
      <c r="D33" s="149">
        <f>'Jan 19'!$D33+'Feb 19'!$D33+'Mar 19'!$D33+'Apr 19'!$D33+'May 19'!$D33+'Jun 19'!$D33+'Jul 19'!$D33+'Aug 19'!$D33+'Sept 19'!$D33+'Oct 19'!$D33+'Nov 19'!$D33+'Dec 19'!$D33</f>
        <v>0</v>
      </c>
      <c r="E33" s="150">
        <f>'Jan 19'!$E33+'Feb 19'!$E33+'Mar 19'!$E33+'Apr 19'!$E33+'May 19'!$E33+'Jun 19'!$E33+'Jul 19'!$E33+'Aug 19'!$E33+'Sept 19'!$E33+'Oct 19'!$E33+'Nov 19'!$E33+'Dec 19'!$E33</f>
        <v>0</v>
      </c>
      <c r="F33" s="149">
        <f>'Jan 19'!$F33+'Feb 19'!$F33+'Mar 19'!$F33+'Apr 19'!$F33+'May 19'!$F33+'Jun 19'!$F33+'Jul 19'!$F33+'Aug 19'!$F33+'Sept 19'!$F33+'Oct 19'!$F33+'Nov 19'!$F33+'Dec 19'!$F33</f>
        <v>0</v>
      </c>
      <c r="G33" s="149">
        <f>'Jan 19'!$G33+'Feb 19'!$G33+'Mar 19'!$G33+'Apr 19'!$G33+'May 19'!$G33+'Jun 19'!$G33+'Jul 19'!$G33+'Aug 19'!$G33+'Sept 19'!$G33+'Oct 19'!$G33+'Nov 19'!$G33+'Dec 19'!$G33</f>
        <v>0</v>
      </c>
      <c r="H33" s="149">
        <f>'Jan 19'!$H33+'Feb 19'!$H33+'Mar 19'!$H33+'Apr 19'!$H33+'May 19'!$H33+'Jun 19'!$H33+'Jul 19'!$H33+'Aug 19'!$H33+'Sept 19'!$H33+'Oct 19'!$H33+'Nov 19'!$H33+'Dec 19'!$H33</f>
        <v>0</v>
      </c>
      <c r="I33" s="149">
        <f>'Jan 19'!$I33+'Feb 19'!$I33+'Mar 19'!$I33+'Apr 19'!$I33+'May 19'!$I33+'Jun 19'!$I33+'Jul 19'!$I33+'Aug 19'!$I33+'Sept 19'!$I33+'Oct 19'!$I33+'Nov 19'!$I33+'Dec 19'!$I33</f>
        <v>0</v>
      </c>
      <c r="J33" s="149">
        <f>'Jan 19'!$J33+'Feb 19'!$J33+'Mar 19'!$J33+'Apr 19'!$J33+'May 19'!$J33+'Jun 19'!$J33+'Jul 19'!$J33+'Aug 19'!$J33+'Sept 19'!$J33+'Oct 19'!$J33+'Nov 19'!$J33+'Dec 19'!$J33</f>
        <v>0</v>
      </c>
      <c r="K33" s="149">
        <f>'Jan 19'!$K33+'Feb 19'!$K33+'Mar 19'!$K33+'Apr 19'!$K33+'May 19'!$K33+'Jun 19'!$K33+'Jul 19'!$K33+'Aug 19'!$K33+'Sept 19'!$K33+'Oct 19'!$K33+'Nov 19'!$K33+'Dec 19'!$K33</f>
        <v>250</v>
      </c>
      <c r="L33" s="149">
        <f>'Jan 19'!$L33+'Feb 19'!$L33+'Mar 19'!$L33+'Apr 19'!$L33+'May 19'!$L33+'Jun 19'!$L33+'Jul 19'!$L33+'Aug 19'!$L33+'Sept 19'!$L33+'Oct 19'!$L33+'Nov 19'!$L33+'Dec 19'!$L33</f>
        <v>0</v>
      </c>
      <c r="M33" s="149">
        <f>'Jan 19'!$M33+'Feb 19'!$M33+'Mar 19'!$M33+'Apr 19'!$M33+'May 19'!$M33+'Jun 19'!$M33+'Jul 19'!$M33+'Aug 19'!$M33+'Sept 19'!$M33+'Oct 19'!$M33+'Nov 19'!$M33+'Dec 19'!$M33</f>
        <v>0</v>
      </c>
      <c r="N33" s="151">
        <f t="shared" si="0"/>
        <v>9943.81</v>
      </c>
    </row>
    <row r="34" spans="1:14" s="126" customFormat="1" ht="20.25" customHeight="1">
      <c r="A34" s="148" t="s">
        <v>39</v>
      </c>
      <c r="B34" s="149">
        <f>'Jan 19'!$B34+'Feb 19'!$B34+'Mar 19'!$B34+'Apr 19'!$B34+'May 19'!$B34+'Jun 19'!$B34+'Jul 19'!$B34+'Aug 19'!$B34+'Sept 19'!$B34+'Oct 19'!$B34+'Nov 19'!$B34+'Dec 19'!$B34</f>
        <v>7121.580000000001</v>
      </c>
      <c r="C34" s="149">
        <f>'Jan 19'!$C34+'Feb 19'!$C34+'Mar 19'!$C34+'Apr 19'!$C34+'May 19'!$C34+'Jun 19'!$C34+'Jul 19'!$C34+'Aug 19'!$C34+'Sept 19'!$C34+'Oct 19'!$C34+'Nov 19'!$C34+'Dec 19'!$C34</f>
        <v>17093.34</v>
      </c>
      <c r="D34" s="149">
        <f>'Jan 19'!$D34+'Feb 19'!$D34+'Mar 19'!$D34+'Apr 19'!$D34+'May 19'!$D34+'Jun 19'!$D34+'Jul 19'!$D34+'Aug 19'!$D34+'Sept 19'!$D34+'Oct 19'!$D34+'Nov 19'!$D34+'Dec 19'!$D34</f>
        <v>0</v>
      </c>
      <c r="E34" s="150">
        <f>'Jan 19'!$E34+'Feb 19'!$E34+'Mar 19'!$E34+'Apr 19'!$E34+'May 19'!$E34+'Jun 19'!$E34+'Jul 19'!$E34+'Aug 19'!$E34+'Sept 19'!$E34+'Oct 19'!$E34+'Nov 19'!$E34+'Dec 19'!$E34</f>
        <v>303.19</v>
      </c>
      <c r="F34" s="149">
        <f>'Jan 19'!$F34+'Feb 19'!$F34+'Mar 19'!$F34+'Apr 19'!$F34+'May 19'!$F34+'Jun 19'!$F34+'Jul 19'!$F34+'Aug 19'!$F34+'Sept 19'!$F34+'Oct 19'!$F34+'Nov 19'!$F34+'Dec 19'!$F34</f>
        <v>884.28</v>
      </c>
      <c r="G34" s="149">
        <f>'Jan 19'!$G34+'Feb 19'!$G34+'Mar 19'!$G34+'Apr 19'!$G34+'May 19'!$G34+'Jun 19'!$G34+'Jul 19'!$G34+'Aug 19'!$G34+'Sept 19'!$G34+'Oct 19'!$G34+'Nov 19'!$G34+'Dec 19'!$G34</f>
        <v>0</v>
      </c>
      <c r="H34" s="149">
        <f>'Jan 19'!$H34+'Feb 19'!$H34+'Mar 19'!$H34+'Apr 19'!$H34+'May 19'!$H34+'Jun 19'!$H34+'Jul 19'!$H34+'Aug 19'!$H34+'Sept 19'!$H34+'Oct 19'!$H34+'Nov 19'!$H34+'Dec 19'!$H34</f>
        <v>0</v>
      </c>
      <c r="I34" s="149">
        <f>'Jan 19'!$I34+'Feb 19'!$I34+'Mar 19'!$I34+'Apr 19'!$I34+'May 19'!$I34+'Jun 19'!$I34+'Jul 19'!$I34+'Aug 19'!$I34+'Sept 19'!$I34+'Oct 19'!$I34+'Nov 19'!$I34+'Dec 19'!$I34</f>
        <v>0</v>
      </c>
      <c r="J34" s="149">
        <f>'Jan 19'!$J34+'Feb 19'!$J34+'Mar 19'!$J34+'Apr 19'!$J34+'May 19'!$J34+'Jun 19'!$J34+'Jul 19'!$J34+'Aug 19'!$J34+'Sept 19'!$J34+'Oct 19'!$J34+'Nov 19'!$J34+'Dec 19'!$J34</f>
        <v>2828.76</v>
      </c>
      <c r="K34" s="149">
        <f>'Jan 19'!$K34+'Feb 19'!$K34+'Mar 19'!$K34+'Apr 19'!$K34+'May 19'!$K34+'Jun 19'!$K34+'Jul 19'!$K34+'Aug 19'!$K34+'Sept 19'!$K34+'Oct 19'!$K34+'Nov 19'!$K34+'Dec 19'!$K34</f>
        <v>0</v>
      </c>
      <c r="L34" s="149">
        <f>'Jan 19'!$L34+'Feb 19'!$L34+'Mar 19'!$L34+'Apr 19'!$L34+'May 19'!$L34+'Jun 19'!$L34+'Jul 19'!$L34+'Aug 19'!$L34+'Sept 19'!$L34+'Oct 19'!$L34+'Nov 19'!$L34+'Dec 19'!$L34</f>
        <v>0</v>
      </c>
      <c r="M34" s="149">
        <f>'Jan 19'!$M34+'Feb 19'!$M34+'Mar 19'!$M34+'Apr 19'!$M34+'May 19'!$M34+'Jun 19'!$M34+'Jul 19'!$M34+'Aug 19'!$M34+'Sept 19'!$M34+'Oct 19'!$M34+'Nov 19'!$M34+'Dec 19'!$M34</f>
        <v>3500</v>
      </c>
      <c r="N34" s="151">
        <f t="shared" si="0"/>
        <v>31731.15</v>
      </c>
    </row>
    <row r="35" spans="1:14" s="126" customFormat="1" ht="20.25" customHeight="1">
      <c r="A35" s="127" t="s">
        <v>40</v>
      </c>
      <c r="B35" s="149">
        <f>'Jan 19'!$B35+'Feb 19'!$B35+'Mar 19'!$B35+'Apr 19'!$B35+'May 19'!$B35+'Jun 19'!$B35+'Jul 19'!$B35+'Aug 19'!$B35+'Sept 19'!$B35+'Oct 19'!$B35+'Nov 19'!$B35+'Dec 19'!$B35</f>
        <v>8126.359999999998</v>
      </c>
      <c r="C35" s="149">
        <f>'Jan 19'!$C35+'Feb 19'!$C35+'Mar 19'!$C35+'Apr 19'!$C35+'May 19'!$C35+'Jun 19'!$C35+'Jul 19'!$C35+'Aug 19'!$C35+'Sept 19'!$C35+'Oct 19'!$C35+'Nov 19'!$C35+'Dec 19'!$C35</f>
        <v>17093.34</v>
      </c>
      <c r="D35" s="149">
        <f>'Jan 19'!$D35+'Feb 19'!$D35+'Mar 19'!$D35+'Apr 19'!$D35+'May 19'!$D35+'Jun 19'!$D35+'Jul 19'!$D35+'Aug 19'!$D35+'Sept 19'!$D35+'Oct 19'!$D35+'Nov 19'!$D35+'Dec 19'!$D35</f>
        <v>699.62</v>
      </c>
      <c r="E35" s="150">
        <f>'Jan 19'!$E35+'Feb 19'!$E35+'Mar 19'!$E35+'Apr 19'!$E35+'May 19'!$E35+'Jun 19'!$E35+'Jul 19'!$E35+'Aug 19'!$E35+'Sept 19'!$E35+'Oct 19'!$E35+'Nov 19'!$E35+'Dec 19'!$E35</f>
        <v>4722.099999999999</v>
      </c>
      <c r="F35" s="149">
        <f>'Jan 19'!$F35+'Feb 19'!$F35+'Mar 19'!$F35+'Apr 19'!$F35+'May 19'!$F35+'Jun 19'!$F35+'Jul 19'!$F35+'Aug 19'!$F35+'Sept 19'!$F35+'Oct 19'!$F35+'Nov 19'!$F35+'Dec 19'!$F35</f>
        <v>0</v>
      </c>
      <c r="G35" s="149">
        <f>'Jan 19'!$G35+'Feb 19'!$G35+'Mar 19'!$G35+'Apr 19'!$G35+'May 19'!$G35+'Jun 19'!$G35+'Jul 19'!$G35+'Aug 19'!$G35+'Sept 19'!$G35+'Oct 19'!$G35+'Nov 19'!$G35+'Dec 19'!$G35</f>
        <v>0</v>
      </c>
      <c r="H35" s="149">
        <f>'Jan 19'!$H35+'Feb 19'!$H35+'Mar 19'!$H35+'Apr 19'!$H35+'May 19'!$H35+'Jun 19'!$H35+'Jul 19'!$H35+'Aug 19'!$H35+'Sept 19'!$H35+'Oct 19'!$H35+'Nov 19'!$H35+'Dec 19'!$H35</f>
        <v>0</v>
      </c>
      <c r="I35" s="149">
        <f>'Jan 19'!$I35+'Feb 19'!$I35+'Mar 19'!$I35+'Apr 19'!$I35+'May 19'!$I35+'Jun 19'!$I35+'Jul 19'!$I35+'Aug 19'!$I35+'Sept 19'!$I35+'Oct 19'!$I35+'Nov 19'!$I35+'Dec 19'!$I35</f>
        <v>0</v>
      </c>
      <c r="J35" s="149">
        <f>'Jan 19'!$J35+'Feb 19'!$J35+'Mar 19'!$J35+'Apr 19'!$J35+'May 19'!$J35+'Jun 19'!$J35+'Jul 19'!$J35+'Aug 19'!$J35+'Sept 19'!$J35+'Oct 19'!$J35+'Nov 19'!$J35+'Dec 19'!$J35</f>
        <v>3173.7200000000003</v>
      </c>
      <c r="K35" s="149">
        <f>'Jan 19'!$K35+'Feb 19'!$K35+'Mar 19'!$K35+'Apr 19'!$K35+'May 19'!$K35+'Jun 19'!$K35+'Jul 19'!$K35+'Aug 19'!$K35+'Sept 19'!$K35+'Oct 19'!$K35+'Nov 19'!$K35+'Dec 19'!$K35</f>
        <v>0</v>
      </c>
      <c r="L35" s="149">
        <f>'Jan 19'!$L35+'Feb 19'!$L35+'Mar 19'!$L35+'Apr 19'!$L35+'May 19'!$L35+'Jun 19'!$L35+'Jul 19'!$L35+'Aug 19'!$L35+'Sept 19'!$L35+'Oct 19'!$L35+'Nov 19'!$L35+'Dec 19'!$L35</f>
        <v>74.37</v>
      </c>
      <c r="M35" s="149">
        <f>'Jan 19'!$M35+'Feb 19'!$M35+'Mar 19'!$M35+'Apr 19'!$M35+'May 19'!$M35+'Jun 19'!$M35+'Jul 19'!$M35+'Aug 19'!$M35+'Sept 19'!$M35+'Oct 19'!$M35+'Nov 19'!$M35+'Dec 19'!$M35</f>
        <v>6000</v>
      </c>
      <c r="N35" s="151">
        <f t="shared" si="0"/>
        <v>39889.509999999995</v>
      </c>
    </row>
    <row r="36" spans="1:14" s="126" customFormat="1" ht="20.25" customHeight="1">
      <c r="A36" s="148" t="s">
        <v>41</v>
      </c>
      <c r="B36" s="149">
        <f>'Jan 19'!$B36+'Feb 19'!$B36+'Mar 19'!$B36+'Apr 19'!$B36+'May 19'!$B36+'Jun 19'!$B36+'Jul 19'!$B36+'Aug 19'!$B36+'Sept 19'!$B36+'Oct 19'!$B36+'Nov 19'!$B36+'Dec 19'!$B36</f>
        <v>5270.719999999999</v>
      </c>
      <c r="C36" s="149">
        <f>'Jan 19'!$C36+'Feb 19'!$C36+'Mar 19'!$C36+'Apr 19'!$C36+'May 19'!$C36+'Jun 19'!$C36+'Jul 19'!$C36+'Aug 19'!$C36+'Sept 19'!$C36+'Oct 19'!$C36+'Nov 19'!$C36+'Dec 19'!$C36</f>
        <v>17093.34</v>
      </c>
      <c r="D36" s="149">
        <f>'Jan 19'!$D36+'Feb 19'!$D36+'Mar 19'!$D36+'Apr 19'!$D36+'May 19'!$D36+'Jun 19'!$D36+'Jul 19'!$D36+'Aug 19'!$D36+'Sept 19'!$D36+'Oct 19'!$D36+'Nov 19'!$D36+'Dec 19'!$D36</f>
        <v>0</v>
      </c>
      <c r="E36" s="150">
        <f>'Jan 19'!$E36+'Feb 19'!$E36+'Mar 19'!$E36+'Apr 19'!$E36+'May 19'!$E36+'Jun 19'!$E36+'Jul 19'!$E36+'Aug 19'!$E36+'Sept 19'!$E36+'Oct 19'!$E36+'Nov 19'!$E36+'Dec 19'!$E36</f>
        <v>0</v>
      </c>
      <c r="F36" s="149">
        <f>'Jan 19'!$F36+'Feb 19'!$F36+'Mar 19'!$F36+'Apr 19'!$F36+'May 19'!$F36+'Jun 19'!$F36+'Jul 19'!$F36+'Aug 19'!$F36+'Sept 19'!$F36+'Oct 19'!$F36+'Nov 19'!$F36+'Dec 19'!$F36</f>
        <v>0</v>
      </c>
      <c r="G36" s="149">
        <f>'Jan 19'!$G36+'Feb 19'!$G36+'Mar 19'!$G36+'Apr 19'!$G36+'May 19'!$G36+'Jun 19'!$G36+'Jul 19'!$G36+'Aug 19'!$G36+'Sept 19'!$G36+'Oct 19'!$G36+'Nov 19'!$G36+'Dec 19'!$G36</f>
        <v>0</v>
      </c>
      <c r="H36" s="149">
        <f>'Jan 19'!$H36+'Feb 19'!$H36+'Mar 19'!$H36+'Apr 19'!$H36+'May 19'!$H36+'Jun 19'!$H36+'Jul 19'!$H36+'Aug 19'!$H36+'Sept 19'!$H36+'Oct 19'!$H36+'Nov 19'!$H36+'Dec 19'!$H36</f>
        <v>0</v>
      </c>
      <c r="I36" s="149">
        <f>'Jan 19'!$I36+'Feb 19'!$I36+'Mar 19'!$I36+'Apr 19'!$I36+'May 19'!$I36+'Jun 19'!$I36+'Jul 19'!$I36+'Aug 19'!$I36+'Sept 19'!$I36+'Oct 19'!$I36+'Nov 19'!$I36+'Dec 19'!$I36</f>
        <v>0</v>
      </c>
      <c r="J36" s="149">
        <f>'Jan 19'!$J36+'Feb 19'!$J36+'Mar 19'!$J36+'Apr 19'!$J36+'May 19'!$J36+'Jun 19'!$J36+'Jul 19'!$J36+'Aug 19'!$J36+'Sept 19'!$J36+'Oct 19'!$J36+'Nov 19'!$J36+'Dec 19'!$J36</f>
        <v>0</v>
      </c>
      <c r="K36" s="149">
        <f>'Jan 19'!$K36+'Feb 19'!$K36+'Mar 19'!$K36+'Apr 19'!$K36+'May 19'!$K36+'Jun 19'!$K36+'Jul 19'!$K36+'Aug 19'!$K36+'Sept 19'!$K36+'Oct 19'!$K36+'Nov 19'!$K36+'Dec 19'!$K36</f>
        <v>119.24000000000001</v>
      </c>
      <c r="L36" s="149">
        <f>'Jan 19'!$L36+'Feb 19'!$L36+'Mar 19'!$L36+'Apr 19'!$L36+'May 19'!$L36+'Jun 19'!$L36+'Jul 19'!$L36+'Aug 19'!$L36+'Sept 19'!$L36+'Oct 19'!$L36+'Nov 19'!$L36+'Dec 19'!$L36</f>
        <v>139.35</v>
      </c>
      <c r="M36" s="149">
        <f>'Jan 19'!$M36+'Feb 19'!$M36+'Mar 19'!$M36+'Apr 19'!$M36+'May 19'!$M36+'Jun 19'!$M36+'Jul 19'!$M36+'Aug 19'!$M36+'Sept 19'!$M36+'Oct 19'!$M36+'Nov 19'!$M36+'Dec 19'!$M36</f>
        <v>0</v>
      </c>
      <c r="N36" s="151">
        <f t="shared" si="0"/>
        <v>22622.649999999998</v>
      </c>
    </row>
    <row r="37" spans="1:14" s="126" customFormat="1" ht="20.25" customHeight="1">
      <c r="A37" s="127" t="s">
        <v>42</v>
      </c>
      <c r="B37" s="149">
        <f>'Jan 19'!$B37+'Feb 19'!$B37+'Mar 19'!$B37+'Apr 19'!$B37+'May 19'!$B37+'Jun 19'!$B37+'Jul 19'!$B37+'Aug 19'!$B37+'Sept 19'!$B37+'Oct 19'!$B37+'Nov 19'!$B37+'Dec 19'!$B37</f>
        <v>8347.789999999999</v>
      </c>
      <c r="C37" s="149">
        <f>'Jan 19'!$C37+'Feb 19'!$C37+'Mar 19'!$C37+'Apr 19'!$C37+'May 19'!$C37+'Jun 19'!$C37+'Jul 19'!$C37+'Aug 19'!$C37+'Sept 19'!$C37+'Oct 19'!$C37+'Nov 19'!$C37+'Dec 19'!$C37</f>
        <v>17093.34</v>
      </c>
      <c r="D37" s="149">
        <f>'Jan 19'!$D37+'Feb 19'!$D37+'Mar 19'!$D37+'Apr 19'!$D37+'May 19'!$D37+'Jun 19'!$D37+'Jul 19'!$D37+'Aug 19'!$D37+'Sept 19'!$D37+'Oct 19'!$D37+'Nov 19'!$D37+'Dec 19'!$D37</f>
        <v>0</v>
      </c>
      <c r="E37" s="150">
        <f>'Jan 19'!$E37+'Feb 19'!$E37+'Mar 19'!$E37+'Apr 19'!$E37+'May 19'!$E37+'Jun 19'!$E37+'Jul 19'!$E37+'Aug 19'!$E37+'Sept 19'!$E37+'Oct 19'!$E37+'Nov 19'!$E37+'Dec 19'!$E37</f>
        <v>3338.73</v>
      </c>
      <c r="F37" s="149">
        <f>'Jan 19'!$F37+'Feb 19'!$F37+'Mar 19'!$F37+'Apr 19'!$F37+'May 19'!$F37+'Jun 19'!$F37+'Jul 19'!$F37+'Aug 19'!$F37+'Sept 19'!$F37+'Oct 19'!$F37+'Nov 19'!$F37+'Dec 19'!$F37</f>
        <v>0</v>
      </c>
      <c r="G37" s="149">
        <f>'Jan 19'!$G37+'Feb 19'!$G37+'Mar 19'!$G37+'Apr 19'!$G37+'May 19'!$G37+'Jun 19'!$G37+'Jul 19'!$G37+'Aug 19'!$G37+'Sept 19'!$G37+'Oct 19'!$G37+'Nov 19'!$G37+'Dec 19'!$G37</f>
        <v>0</v>
      </c>
      <c r="H37" s="149">
        <f>'Jan 19'!$H37+'Feb 19'!$H37+'Mar 19'!$H37+'Apr 19'!$H37+'May 19'!$H37+'Jun 19'!$H37+'Jul 19'!$H37+'Aug 19'!$H37+'Sept 19'!$H37+'Oct 19'!$H37+'Nov 19'!$H37+'Dec 19'!$H37</f>
        <v>0</v>
      </c>
      <c r="I37" s="149">
        <f>'Jan 19'!$I37+'Feb 19'!$I37+'Mar 19'!$I37+'Apr 19'!$I37+'May 19'!$I37+'Jun 19'!$I37+'Jul 19'!$I37+'Aug 19'!$I37+'Sept 19'!$I37+'Oct 19'!$I37+'Nov 19'!$I37+'Dec 19'!$I37</f>
        <v>0</v>
      </c>
      <c r="J37" s="149">
        <f>'Jan 19'!$J37+'Feb 19'!$J37+'Mar 19'!$J37+'Apr 19'!$J37+'May 19'!$J37+'Jun 19'!$J37+'Jul 19'!$J37+'Aug 19'!$J37+'Sept 19'!$J37+'Oct 19'!$J37+'Nov 19'!$J37+'Dec 19'!$J37</f>
        <v>2805.76</v>
      </c>
      <c r="K37" s="149">
        <f>'Jan 19'!$K37+'Feb 19'!$K37+'Mar 19'!$K37+'Apr 19'!$K37+'May 19'!$K37+'Jun 19'!$K37+'Jul 19'!$K37+'Aug 19'!$K37+'Sept 19'!$K37+'Oct 19'!$K37+'Nov 19'!$K37+'Dec 19'!$K37</f>
        <v>0</v>
      </c>
      <c r="L37" s="149">
        <f>'Jan 19'!$L37+'Feb 19'!$L37+'Mar 19'!$L37+'Apr 19'!$L37+'May 19'!$L37+'Jun 19'!$L37+'Jul 19'!$L37+'Aug 19'!$L37+'Sept 19'!$L37+'Oct 19'!$L37+'Nov 19'!$L37+'Dec 19'!$L37</f>
        <v>258.21</v>
      </c>
      <c r="M37" s="149">
        <f>'Jan 19'!$M37+'Feb 19'!$M37+'Mar 19'!$M37+'Apr 19'!$M37+'May 19'!$M37+'Jun 19'!$M37+'Jul 19'!$M37+'Aug 19'!$M37+'Sept 19'!$M37+'Oct 19'!$M37+'Nov 19'!$M37+'Dec 19'!$M37</f>
        <v>0</v>
      </c>
      <c r="N37" s="151">
        <f t="shared" si="0"/>
        <v>31843.829999999994</v>
      </c>
    </row>
    <row r="38" spans="1:14" s="126" customFormat="1" ht="20.25" customHeight="1">
      <c r="A38" s="148" t="s">
        <v>43</v>
      </c>
      <c r="B38" s="149">
        <f>'Jan 19'!$B38+'Feb 19'!$B38+'Mar 19'!$B38+'Apr 19'!$B38+'May 19'!$B38+'Jun 19'!$B38+'Jul 19'!$B38+'Aug 19'!$B38+'Sept 19'!$B38+'Oct 19'!$B38+'Nov 19'!$B38+'Dec 19'!$B38</f>
        <v>6205.129999999998</v>
      </c>
      <c r="C38" s="149">
        <f>'Jan 19'!$C38+'Feb 19'!$C38+'Mar 19'!$C38+'Apr 19'!$C38+'May 19'!$C38+'Jun 19'!$C38+'Jul 19'!$C38+'Aug 19'!$C38+'Sept 19'!$C38+'Oct 19'!$C38+'Nov 19'!$C38+'Dec 19'!$C38</f>
        <v>17093.34</v>
      </c>
      <c r="D38" s="149">
        <f>'Jan 19'!$D38+'Feb 19'!$D38+'Mar 19'!$D38+'Apr 19'!$D38+'May 19'!$D38+'Jun 19'!$D38+'Jul 19'!$D38+'Aug 19'!$D38+'Sept 19'!$D38+'Oct 19'!$D38+'Nov 19'!$D38+'Dec 19'!$D38</f>
        <v>0</v>
      </c>
      <c r="E38" s="150">
        <f>'Jan 19'!$E38+'Feb 19'!$E38+'Mar 19'!$E38+'Apr 19'!$E38+'May 19'!$E38+'Jun 19'!$E38+'Jul 19'!$E38+'Aug 19'!$E38+'Sept 19'!$E38+'Oct 19'!$E38+'Nov 19'!$E38+'Dec 19'!$E38</f>
        <v>0</v>
      </c>
      <c r="F38" s="149">
        <f>'Jan 19'!$F38+'Feb 19'!$F38+'Mar 19'!$F38+'Apr 19'!$F38+'May 19'!$F38+'Jun 19'!$F38+'Jul 19'!$F38+'Aug 19'!$F38+'Sept 19'!$F38+'Oct 19'!$F38+'Nov 19'!$F38+'Dec 19'!$F38</f>
        <v>0</v>
      </c>
      <c r="G38" s="149">
        <f>'Jan 19'!$G38+'Feb 19'!$G38+'Mar 19'!$G38+'Apr 19'!$G38+'May 19'!$G38+'Jun 19'!$G38+'Jul 19'!$G38+'Aug 19'!$G38+'Sept 19'!$G38+'Oct 19'!$G38+'Nov 19'!$G38+'Dec 19'!$G38</f>
        <v>0</v>
      </c>
      <c r="H38" s="149">
        <f>'Jan 19'!$H38+'Feb 19'!$H38+'Mar 19'!$H38+'Apr 19'!$H38+'May 19'!$H38+'Jun 19'!$H38+'Jul 19'!$H38+'Aug 19'!$H38+'Sept 19'!$H38+'Oct 19'!$H38+'Nov 19'!$H38+'Dec 19'!$H38</f>
        <v>0</v>
      </c>
      <c r="I38" s="149">
        <f>'Jan 19'!$I38+'Feb 19'!$I38+'Mar 19'!$I38+'Apr 19'!$I38+'May 19'!$I38+'Jun 19'!$I38+'Jul 19'!$I38+'Aug 19'!$I38+'Sept 19'!$I38+'Oct 19'!$I38+'Nov 19'!$I38+'Dec 19'!$I38</f>
        <v>0</v>
      </c>
      <c r="J38" s="149">
        <f>'Jan 19'!$J38+'Feb 19'!$J38+'Mar 19'!$J38+'Apr 19'!$J38+'May 19'!$J38+'Jun 19'!$J38+'Jul 19'!$J38+'Aug 19'!$J38+'Sept 19'!$J38+'Oct 19'!$J38+'Nov 19'!$J38+'Dec 19'!$J38</f>
        <v>3196.73</v>
      </c>
      <c r="K38" s="149">
        <f>'Jan 19'!$K38+'Feb 19'!$K38+'Mar 19'!$K38+'Apr 19'!$K38+'May 19'!$K38+'Jun 19'!$K38+'Jul 19'!$K38+'Aug 19'!$K38+'Sept 19'!$K38+'Oct 19'!$K38+'Nov 19'!$K38+'Dec 19'!$K38</f>
        <v>0</v>
      </c>
      <c r="L38" s="149">
        <f>'Jan 19'!$L38+'Feb 19'!$L38+'Mar 19'!$L38+'Apr 19'!$L38+'May 19'!$L38+'Jun 19'!$L38+'Jul 19'!$L38+'Aug 19'!$L38+'Sept 19'!$L38+'Oct 19'!$L38+'Nov 19'!$L38+'Dec 19'!$L38</f>
        <v>0</v>
      </c>
      <c r="M38" s="149">
        <f>'Jan 19'!$M38+'Feb 19'!$M38+'Mar 19'!$M38+'Apr 19'!$M38+'May 19'!$M38+'Jun 19'!$M38+'Jul 19'!$M38+'Aug 19'!$M38+'Sept 19'!$M38+'Oct 19'!$M38+'Nov 19'!$M38+'Dec 19'!$M38</f>
        <v>0</v>
      </c>
      <c r="N38" s="151">
        <f t="shared" si="0"/>
        <v>26495.199999999997</v>
      </c>
    </row>
    <row r="39" spans="1:14" s="126" customFormat="1" ht="20.25" customHeight="1">
      <c r="A39" s="127" t="s">
        <v>44</v>
      </c>
      <c r="B39" s="149">
        <f>'Jan 19'!$B39+'Feb 19'!$B39+'Mar 19'!$B39+'Apr 19'!$B39+'May 19'!$B39+'Jun 19'!$B39+'Jul 19'!$B39+'Aug 19'!$B39+'Sept 19'!$B39+'Oct 19'!$B39+'Nov 19'!$B39+'Dec 19'!$B39</f>
        <v>5860.330000000001</v>
      </c>
      <c r="C39" s="149">
        <f>'Jan 19'!$C39+'Feb 19'!$C39+'Mar 19'!$C39+'Apr 19'!$C39+'May 19'!$C39+'Jun 19'!$C39+'Jul 19'!$C39+'Aug 19'!$C39+'Sept 19'!$C39+'Oct 19'!$C39+'Nov 19'!$C39+'Dec 19'!$C39</f>
        <v>17093.34</v>
      </c>
      <c r="D39" s="149">
        <f>'Jan 19'!$D39+'Feb 19'!$D39+'Mar 19'!$D39+'Apr 19'!$D39+'May 19'!$D39+'Jun 19'!$D39+'Jul 19'!$D39+'Aug 19'!$D39+'Sept 19'!$D39+'Oct 19'!$D39+'Nov 19'!$D39+'Dec 19'!$D39</f>
        <v>250.02</v>
      </c>
      <c r="E39" s="150">
        <f>'Jan 19'!$E39+'Feb 19'!$E39+'Mar 19'!$E39+'Apr 19'!$E39+'May 19'!$E39+'Jun 19'!$E39+'Jul 19'!$E39+'Aug 19'!$E39+'Sept 19'!$E39+'Oct 19'!$E39+'Nov 19'!$E39+'Dec 19'!$E39</f>
        <v>3520.07</v>
      </c>
      <c r="F39" s="149">
        <f>'Jan 19'!$F39+'Feb 19'!$F39+'Mar 19'!$F39+'Apr 19'!$F39+'May 19'!$F39+'Jun 19'!$F39+'Jul 19'!$F39+'Aug 19'!$F39+'Sept 19'!$F39+'Oct 19'!$F39+'Nov 19'!$F39+'Dec 19'!$F39</f>
        <v>6911.13</v>
      </c>
      <c r="G39" s="149">
        <f>'Jan 19'!$G39+'Feb 19'!$G39+'Mar 19'!$G39+'Apr 19'!$G39+'May 19'!$G39+'Jun 19'!$G39+'Jul 19'!$G39+'Aug 19'!$G39+'Sept 19'!$G39+'Oct 19'!$G39+'Nov 19'!$G39+'Dec 19'!$G39</f>
        <v>16213.59</v>
      </c>
      <c r="H39" s="149">
        <f>'Jan 19'!$H39+'Feb 19'!$H39+'Mar 19'!$H39+'Apr 19'!$H39+'May 19'!$H39+'Jun 19'!$H39+'Jul 19'!$H39+'Aug 19'!$H39+'Sept 19'!$H39+'Oct 19'!$H39+'Nov 19'!$H39+'Dec 19'!$H39</f>
        <v>0</v>
      </c>
      <c r="I39" s="149">
        <f>'Jan 19'!$I39+'Feb 19'!$I39+'Mar 19'!$I39+'Apr 19'!$I39+'May 19'!$I39+'Jun 19'!$I39+'Jul 19'!$I39+'Aug 19'!$I39+'Sept 19'!$I39+'Oct 19'!$I39+'Nov 19'!$I39+'Dec 19'!$I39</f>
        <v>0</v>
      </c>
      <c r="J39" s="149">
        <f>'Jan 19'!$J39+'Feb 19'!$J39+'Mar 19'!$J39+'Apr 19'!$J39+'May 19'!$J39+'Jun 19'!$J39+'Jul 19'!$J39+'Aug 19'!$J39+'Sept 19'!$J39+'Oct 19'!$J39+'Nov 19'!$J39+'Dec 19'!$J39</f>
        <v>0</v>
      </c>
      <c r="K39" s="149">
        <f>'Jan 19'!$K39+'Feb 19'!$K39+'Mar 19'!$K39+'Apr 19'!$K39+'May 19'!$K39+'Jun 19'!$K39+'Jul 19'!$K39+'Aug 19'!$K39+'Sept 19'!$K39+'Oct 19'!$K39+'Nov 19'!$K39+'Dec 19'!$K39</f>
        <v>250</v>
      </c>
      <c r="L39" s="149">
        <f>'Jan 19'!$L39+'Feb 19'!$L39+'Mar 19'!$L39+'Apr 19'!$L39+'May 19'!$L39+'Jun 19'!$L39+'Jul 19'!$L39+'Aug 19'!$L39+'Sept 19'!$L39+'Oct 19'!$L39+'Nov 19'!$L39+'Dec 19'!$L39</f>
        <v>402.13</v>
      </c>
      <c r="M39" s="149">
        <f>'Jan 19'!$M39+'Feb 19'!$M39+'Mar 19'!$M39+'Apr 19'!$M39+'May 19'!$M39+'Jun 19'!$M39+'Jul 19'!$M39+'Aug 19'!$M39+'Sept 19'!$M39+'Oct 19'!$M39+'Nov 19'!$M39+'Dec 19'!$M39</f>
        <v>0</v>
      </c>
      <c r="N39" s="151">
        <f t="shared" si="0"/>
        <v>50500.60999999999</v>
      </c>
    </row>
    <row r="40" spans="1:14" s="126" customFormat="1" ht="20.25" customHeight="1">
      <c r="A40" s="148" t="s">
        <v>45</v>
      </c>
      <c r="B40" s="149">
        <f>'Jan 19'!$B40+'Feb 19'!$B40+'Mar 19'!$B40+'Apr 19'!$B40+'May 19'!$B40+'Jun 19'!$B40+'Jul 19'!$B40+'Aug 19'!$B40+'Sept 19'!$B40+'Oct 19'!$B40+'Nov 19'!$B40+'Dec 19'!$B40</f>
        <v>2245.2900000000004</v>
      </c>
      <c r="C40" s="149">
        <f>'Jan 19'!$C40+'Feb 19'!$C40+'Mar 19'!$C40+'Apr 19'!$C40+'May 19'!$C40+'Jun 19'!$C40+'Jul 19'!$C40+'Aug 19'!$C40+'Sept 19'!$C40+'Oct 19'!$C40+'Nov 19'!$C40+'Dec 19'!$C40</f>
        <v>7519.959999999999</v>
      </c>
      <c r="D40" s="149">
        <f>'Jan 19'!$D40+'Feb 19'!$D40+'Mar 19'!$D40+'Apr 19'!$D40+'May 19'!$D40+'Jun 19'!$D40+'Jul 19'!$D40+'Aug 19'!$D40+'Sept 19'!$D40+'Oct 19'!$D40+'Nov 19'!$D40+'Dec 19'!$D40</f>
        <v>0</v>
      </c>
      <c r="E40" s="150">
        <f>'Jan 19'!$E40+'Feb 19'!$E40+'Mar 19'!$E40+'Apr 19'!$E40+'May 19'!$E40+'Jun 19'!$E40+'Jul 19'!$E40+'Aug 19'!$E40+'Sept 19'!$E40+'Oct 19'!$E40+'Nov 19'!$E40+'Dec 19'!$E40</f>
        <v>0</v>
      </c>
      <c r="F40" s="149">
        <f>'Jan 19'!$F40+'Feb 19'!$F40+'Mar 19'!$F40+'Apr 19'!$F40+'May 19'!$F40+'Jun 19'!$F40+'Jul 19'!$F40+'Aug 19'!$F40+'Sept 19'!$F40+'Oct 19'!$F40+'Nov 19'!$F40+'Dec 19'!$F40</f>
        <v>0</v>
      </c>
      <c r="G40" s="149">
        <f>'Jan 19'!$G40+'Feb 19'!$G40+'Mar 19'!$G40+'Apr 19'!$G40+'May 19'!$G40+'Jun 19'!$G40+'Jul 19'!$G40+'Aug 19'!$G40+'Sept 19'!$G40+'Oct 19'!$G40+'Nov 19'!$G40+'Dec 19'!$G40</f>
        <v>0</v>
      </c>
      <c r="H40" s="149">
        <f>'Jan 19'!$H40+'Feb 19'!$H40+'Mar 19'!$H40+'Apr 19'!$H40+'May 19'!$H40+'Jun 19'!$H40+'Jul 19'!$H40+'Aug 19'!$H40+'Sept 19'!$H40+'Oct 19'!$H40+'Nov 19'!$H40+'Dec 19'!$H40</f>
        <v>0</v>
      </c>
      <c r="I40" s="149">
        <f>'Jan 19'!$I40+'Feb 19'!$I40+'Mar 19'!$I40+'Apr 19'!$I40+'May 19'!$I40+'Jun 19'!$I40+'Jul 19'!$I40+'Aug 19'!$I40+'Sept 19'!$I40+'Oct 19'!$I40+'Nov 19'!$I40+'Dec 19'!$I40</f>
        <v>0</v>
      </c>
      <c r="J40" s="149">
        <f>'Jan 19'!$J40+'Feb 19'!$J40+'Mar 19'!$J40+'Apr 19'!$J40+'May 19'!$J40+'Jun 19'!$J40+'Jul 19'!$J40+'Aug 19'!$J40+'Sept 19'!$J40+'Oct 19'!$J40+'Nov 19'!$J40+'Dec 19'!$J40</f>
        <v>0</v>
      </c>
      <c r="K40" s="149">
        <f>'Jan 19'!$K40+'Feb 19'!$K40+'Mar 19'!$K40+'Apr 19'!$K40+'May 19'!$K40+'Jun 19'!$K40+'Jul 19'!$K40+'Aug 19'!$K40+'Sept 19'!$K40+'Oct 19'!$K40+'Nov 19'!$K40+'Dec 19'!$K40</f>
        <v>0</v>
      </c>
      <c r="L40" s="149">
        <f>'Jan 19'!$L40+'Feb 19'!$L40+'Mar 19'!$L40+'Apr 19'!$L40+'May 19'!$L40+'Jun 19'!$L40+'Jul 19'!$L40+'Aug 19'!$L40+'Sept 19'!$L40+'Oct 19'!$L40+'Nov 19'!$L40+'Dec 19'!$L40</f>
        <v>82</v>
      </c>
      <c r="M40" s="149">
        <f>'Jan 19'!$M40+'Feb 19'!$M40+'Mar 19'!$M40+'Apr 19'!$M40+'May 19'!$M40+'Jun 19'!$M40+'Jul 19'!$M40+'Aug 19'!$M40+'Sept 19'!$M40+'Oct 19'!$M40+'Nov 19'!$M40+'Dec 19'!$M40</f>
        <v>0</v>
      </c>
      <c r="N40" s="151">
        <f t="shared" si="0"/>
        <v>9847.25</v>
      </c>
    </row>
    <row r="41" spans="1:14" s="126" customFormat="1" ht="20.25" customHeight="1">
      <c r="A41" s="127" t="s">
        <v>46</v>
      </c>
      <c r="B41" s="149">
        <f>'Jan 19'!$B41+'Feb 19'!$B41+'Mar 19'!$B41+'Apr 19'!$B41+'May 19'!$B41+'Jun 19'!$B41+'Jul 19'!$B41+'Aug 19'!$B41+'Sept 19'!$B41+'Oct 19'!$B41+'Nov 19'!$B41+'Dec 19'!$B41</f>
        <v>5397.35</v>
      </c>
      <c r="C41" s="149">
        <f>'Jan 19'!$C41+'Feb 19'!$C41+'Mar 19'!$C41+'Apr 19'!$C41+'May 19'!$C41+'Jun 19'!$C41+'Jul 19'!$C41+'Aug 19'!$C41+'Sept 19'!$C41+'Oct 19'!$C41+'Nov 19'!$C41+'Dec 19'!$C41</f>
        <v>17093.34</v>
      </c>
      <c r="D41" s="149">
        <f>'Jan 19'!$D41+'Feb 19'!$D41+'Mar 19'!$D41+'Apr 19'!$D41+'May 19'!$D41+'Jun 19'!$D41+'Jul 19'!$D41+'Aug 19'!$D41+'Sept 19'!$D41+'Oct 19'!$D41+'Nov 19'!$D41+'Dec 19'!$D41</f>
        <v>536.24</v>
      </c>
      <c r="E41" s="150">
        <f>'Jan 19'!$E41+'Feb 19'!$E41+'Mar 19'!$E41+'Apr 19'!$E41+'May 19'!$E41+'Jun 19'!$E41+'Jul 19'!$E41+'Aug 19'!$E41+'Sept 19'!$E41+'Oct 19'!$E41+'Nov 19'!$E41+'Dec 19'!$E41</f>
        <v>2837.7700000000004</v>
      </c>
      <c r="F41" s="149">
        <f>'Jan 19'!$F41+'Feb 19'!$F41+'Mar 19'!$F41+'Apr 19'!$F41+'May 19'!$F41+'Jun 19'!$F41+'Jul 19'!$F41+'Aug 19'!$F41+'Sept 19'!$F41+'Oct 19'!$F41+'Nov 19'!$F41+'Dec 19'!$F41</f>
        <v>0</v>
      </c>
      <c r="G41" s="149">
        <f>'Jan 19'!$G41+'Feb 19'!$G41+'Mar 19'!$G41+'Apr 19'!$G41+'May 19'!$G41+'Jun 19'!$G41+'Jul 19'!$G41+'Aug 19'!$G41+'Sept 19'!$G41+'Oct 19'!$G41+'Nov 19'!$G41+'Dec 19'!$G41</f>
        <v>0</v>
      </c>
      <c r="H41" s="149">
        <f>'Jan 19'!$H41+'Feb 19'!$H41+'Mar 19'!$H41+'Apr 19'!$H41+'May 19'!$H41+'Jun 19'!$H41+'Jul 19'!$H41+'Aug 19'!$H41+'Sept 19'!$H41+'Oct 19'!$H41+'Nov 19'!$H41+'Dec 19'!$H41</f>
        <v>0</v>
      </c>
      <c r="I41" s="149">
        <f>'Jan 19'!$I41+'Feb 19'!$I41+'Mar 19'!$I41+'Apr 19'!$I41+'May 19'!$I41+'Jun 19'!$I41+'Jul 19'!$I41+'Aug 19'!$I41+'Sept 19'!$I41+'Oct 19'!$I41+'Nov 19'!$I41+'Dec 19'!$I41</f>
        <v>0</v>
      </c>
      <c r="J41" s="149">
        <f>'Jan 19'!$J41+'Feb 19'!$J41+'Mar 19'!$J41+'Apr 19'!$J41+'May 19'!$J41+'Jun 19'!$J41+'Jul 19'!$J41+'Aug 19'!$J41+'Sept 19'!$J41+'Oct 19'!$J41+'Nov 19'!$J41+'Dec 19'!$J41</f>
        <v>0</v>
      </c>
      <c r="K41" s="149">
        <f>'Jan 19'!$K41+'Feb 19'!$K41+'Mar 19'!$K41+'Apr 19'!$K41+'May 19'!$K41+'Jun 19'!$K41+'Jul 19'!$K41+'Aug 19'!$K41+'Sept 19'!$K41+'Oct 19'!$K41+'Nov 19'!$K41+'Dec 19'!$K41</f>
        <v>0</v>
      </c>
      <c r="L41" s="149">
        <f>'Jan 19'!$L41+'Feb 19'!$L41+'Mar 19'!$L41+'Apr 19'!$L41+'May 19'!$L41+'Jun 19'!$L41+'Jul 19'!$L41+'Aug 19'!$L41+'Sept 19'!$L41+'Oct 19'!$L41+'Nov 19'!$L41+'Dec 19'!$L41</f>
        <v>185.44</v>
      </c>
      <c r="M41" s="149">
        <f>'Jan 19'!$M41+'Feb 19'!$M41+'Mar 19'!$M41+'Apr 19'!$M41+'May 19'!$M41+'Jun 19'!$M41+'Jul 19'!$M41+'Aug 19'!$M41+'Sept 19'!$M41+'Oct 19'!$M41+'Nov 19'!$M41+'Dec 19'!$M41</f>
        <v>0</v>
      </c>
      <c r="N41" s="151">
        <f t="shared" si="0"/>
        <v>26050.140000000003</v>
      </c>
    </row>
    <row r="42" spans="1:14" s="126" customFormat="1" ht="20.25" customHeight="1">
      <c r="A42" s="127" t="s">
        <v>92</v>
      </c>
      <c r="B42" s="149">
        <f>'Jan 19'!$B42+'Feb 19'!$B42+'Mar 19'!$B42+'Apr 19'!$B42+'May 19'!$B42+'Jun 19'!$B42+'Jul 19'!$B42+'Aug 19'!$B42+'Sept 19'!$B42+'Oct 19'!$B42+'Nov 19'!$B42+'Dec 19'!$B42</f>
        <v>7791.130000000001</v>
      </c>
      <c r="C42" s="149">
        <f>'Jan 19'!$C42+'Feb 19'!$C42+'Mar 19'!$C42+'Apr 19'!$C42+'May 19'!$C42+'Jun 19'!$C42+'Jul 19'!$C42+'Aug 19'!$C42+'Sept 19'!$C42+'Oct 19'!$C42+'Nov 19'!$C42+'Dec 19'!$C42</f>
        <v>17093.34</v>
      </c>
      <c r="D42" s="149">
        <f>'Jan 19'!$D42+'Feb 19'!$D42+'Mar 19'!$D42+'Apr 19'!$D42+'May 19'!$D42+'Jun 19'!$D42+'Jul 19'!$D42+'Aug 19'!$D42+'Sept 19'!$D42+'Oct 19'!$D42+'Nov 19'!$D42+'Dec 19'!$D42</f>
        <v>0</v>
      </c>
      <c r="E42" s="150">
        <f>'Jan 19'!$E42+'Feb 19'!$E42+'Mar 19'!$E42+'Apr 19'!$E42+'May 19'!$E42+'Jun 19'!$E42+'Jul 19'!$E42+'Aug 19'!$E42+'Sept 19'!$E42+'Oct 19'!$E42+'Nov 19'!$E42+'Dec 19'!$E42</f>
        <v>4397.02</v>
      </c>
      <c r="F42" s="149">
        <f>'Jan 19'!$F42+'Feb 19'!$F42+'Mar 19'!$F42+'Apr 19'!$F42+'May 19'!$F42+'Jun 19'!$F42+'Jul 19'!$F42+'Aug 19'!$F42+'Sept 19'!$F42+'Oct 19'!$F42+'Nov 19'!$F42+'Dec 19'!$F42</f>
        <v>5019.87</v>
      </c>
      <c r="G42" s="149">
        <f>'Jan 19'!$G42+'Feb 19'!$G42+'Mar 19'!$G42+'Apr 19'!$G42+'May 19'!$G42+'Jun 19'!$G42+'Jul 19'!$G42+'Aug 19'!$G42+'Sept 19'!$G42+'Oct 19'!$G42+'Nov 19'!$G42+'Dec 19'!$G42</f>
        <v>0</v>
      </c>
      <c r="H42" s="149">
        <f>'Jan 19'!$H42+'Feb 19'!$H42+'Mar 19'!$H42+'Apr 19'!$H42+'May 19'!$H42+'Jun 19'!$H42+'Jul 19'!$H42+'Aug 19'!$H42+'Sept 19'!$H42+'Oct 19'!$H42+'Nov 19'!$H42+'Dec 19'!$H42</f>
        <v>3242.7200000000003</v>
      </c>
      <c r="I42" s="149">
        <f>'Jan 19'!$I42+'Feb 19'!$I42+'Mar 19'!$I42+'Apr 19'!$I42+'May 19'!$I42+'Jun 19'!$I42+'Jul 19'!$I42+'Aug 19'!$I42+'Sept 19'!$I42+'Oct 19'!$I42+'Nov 19'!$I42+'Dec 19'!$I42</f>
        <v>0</v>
      </c>
      <c r="J42" s="149">
        <f>'Jan 19'!$J42+'Feb 19'!$J42+'Mar 19'!$J42+'Apr 19'!$J42+'May 19'!$J42+'Jun 19'!$J42+'Jul 19'!$J42+'Aug 19'!$J42+'Sept 19'!$J42+'Oct 19'!$J42+'Nov 19'!$J42+'Dec 19'!$J42</f>
        <v>2782.76</v>
      </c>
      <c r="K42" s="149">
        <f>'Jan 19'!$K42+'Feb 19'!$K42+'Mar 19'!$K42+'Apr 19'!$K42+'May 19'!$K42+'Jun 19'!$K42+'Jul 19'!$K42+'Aug 19'!$K42+'Sept 19'!$K42+'Oct 19'!$K42+'Nov 19'!$K42+'Dec 19'!$K42</f>
        <v>0</v>
      </c>
      <c r="L42" s="149">
        <f>'Jan 19'!$L42+'Feb 19'!$L42+'Mar 19'!$L42+'Apr 19'!$L42+'May 19'!$L42+'Jun 19'!$L42+'Jul 19'!$L42+'Aug 19'!$L42+'Sept 19'!$L42+'Oct 19'!$L42+'Nov 19'!$L42+'Dec 19'!$L42</f>
        <v>0</v>
      </c>
      <c r="M42" s="149">
        <f>'Jan 19'!$M42+'Feb 19'!$M42+'Mar 19'!$M42+'Apr 19'!$M42+'May 19'!$M42+'Jun 19'!$M42+'Jul 19'!$M42+'Aug 19'!$M42+'Sept 19'!$M42+'Oct 19'!$M42+'Nov 19'!$M42+'Dec 19'!$M42</f>
        <v>0</v>
      </c>
      <c r="N42" s="151">
        <f t="shared" si="0"/>
        <v>40326.840000000004</v>
      </c>
    </row>
    <row r="43" spans="1:14" s="126" customFormat="1" ht="27" customHeight="1">
      <c r="A43" s="178" t="s">
        <v>130</v>
      </c>
      <c r="B43" s="149"/>
      <c r="C43" s="149"/>
      <c r="D43" s="149"/>
      <c r="E43" s="150"/>
      <c r="F43" s="149"/>
      <c r="G43" s="149"/>
      <c r="H43" s="149"/>
      <c r="I43" s="149"/>
      <c r="J43" s="149"/>
      <c r="K43" s="149"/>
      <c r="L43" s="149"/>
      <c r="M43" s="149"/>
      <c r="N43" s="151">
        <f t="shared" si="0"/>
        <v>0</v>
      </c>
    </row>
    <row r="44" spans="1:14" ht="15.75">
      <c r="A44" s="175" t="s">
        <v>113</v>
      </c>
      <c r="B44" s="149">
        <f>'Jan 19'!$B44+'Feb 19'!$B44+'Mar 19'!$B44+'Apr 19'!$B44+'May 19'!$B44+'Jun 19'!$B44+'Jul 19'!$B44+'Aug 19'!$B44+'Sept 19'!$B44+'Oct 19'!$B44+'Nov 19'!$B44+'Dec 19'!$B44</f>
        <v>3096.8700000000003</v>
      </c>
      <c r="C44" s="149">
        <f>'Jan 19'!$C44+'Feb 19'!$C44+'Mar 19'!$C44+'Apr 19'!$C44+'May 19'!$C44+'Jun 19'!$C44+'Jul 19'!$C44+'Aug 19'!$C44+'Sept 19'!$C44+'Oct 19'!$C44+'Nov 19'!$C44+'Dec 19'!$C44</f>
        <v>9573.369999999999</v>
      </c>
      <c r="D44" s="149">
        <f>'Jan 19'!$D44+'Feb 19'!$D44+'Mar 19'!$D44+'Apr 19'!$D44+'May 19'!$D44+'Jun 19'!$D44+'Jul 19'!$D44+'Aug 19'!$D44+'Sept 19'!$D44+'Oct 19'!$D44+'Nov 19'!$D44+'Dec 19'!$D44</f>
        <v>0</v>
      </c>
      <c r="E44" s="150">
        <f>'Jan 19'!$E44+'Feb 19'!$E44+'Mar 19'!$E44+'Apr 19'!$E44+'May 19'!$E44+'Jun 19'!$E44+'Jul 19'!$E44+'Aug 19'!$E44+'Sept 19'!$E44+'Oct 19'!$E44+'Nov 19'!$E44+'Dec 19'!$E44</f>
        <v>0</v>
      </c>
      <c r="F44" s="149">
        <f>'Jan 19'!$F44+'Feb 19'!$F44+'Mar 19'!$F44+'Apr 19'!$F44+'May 19'!$F44+'Jun 19'!$F44+'Jul 19'!$F44+'Aug 19'!$F44+'Sept 19'!$F44+'Oct 19'!$F44+'Nov 19'!$F44+'Dec 19'!$F44</f>
        <v>0</v>
      </c>
      <c r="G44" s="149">
        <f>'Jan 19'!$G44+'Feb 19'!$G44+'Mar 19'!$G44+'Apr 19'!$G44+'May 19'!$G44+'Jun 19'!$G44+'Jul 19'!$G44+'Aug 19'!$G44+'Sept 19'!$G44+'Oct 19'!$G44+'Nov 19'!$G44+'Dec 19'!$G44</f>
        <v>0</v>
      </c>
      <c r="H44" s="149">
        <f>'Jan 19'!$H44+'Feb 19'!$H44+'Mar 19'!$H44+'Apr 19'!$H44+'May 19'!$H44+'Jun 19'!$H44+'Jul 19'!$H44+'Aug 19'!$H44+'Sept 19'!$H44+'Oct 19'!$H44+'Nov 19'!$H44+'Dec 19'!$H44</f>
        <v>0</v>
      </c>
      <c r="I44" s="149">
        <f>'Jan 19'!$I44+'Feb 19'!$I44+'Mar 19'!$I44+'Apr 19'!$I44+'May 19'!$I44+'Jun 19'!$I44+'Jul 19'!$I44+'Aug 19'!$I44+'Sept 19'!$I44+'Oct 19'!$I44+'Nov 19'!$I44+'Dec 19'!$I44</f>
        <v>0</v>
      </c>
      <c r="J44" s="149">
        <f>'Jan 19'!$J44+'Feb 19'!$J44+'Mar 19'!$J44+'Apr 19'!$J44+'May 19'!$J44+'Jun 19'!$J44+'Jul 19'!$J44+'Aug 19'!$J44+'Sept 19'!$J44+'Oct 19'!$J44+'Nov 19'!$J44+'Dec 19'!$J44</f>
        <v>0</v>
      </c>
      <c r="K44" s="149">
        <f>'Jan 19'!$K44+'Feb 19'!$K44+'Mar 19'!$K44+'Apr 19'!$K44+'May 19'!$K44+'Jun 19'!$K44+'Jul 19'!$K44+'Aug 19'!$K44+'Sept 19'!$K44+'Oct 19'!$K44+'Nov 19'!$K44+'Dec 19'!$K44</f>
        <v>0</v>
      </c>
      <c r="L44" s="149">
        <f>'Jan 19'!$L44+'Feb 19'!$L44+'Mar 19'!$L44+'Apr 19'!$L44+'May 19'!$L44+'Jun 19'!$L44+'Jul 19'!$L44+'Aug 19'!$L44+'Sept 19'!$L44+'Oct 19'!$L44+'Nov 19'!$L44+'Dec 19'!$L44</f>
        <v>0</v>
      </c>
      <c r="M44" s="149">
        <f>'Jan 19'!$M44+'Feb 19'!$M44+'Mar 19'!$M44+'Apr 19'!$M44+'May 19'!$M44+'Jun 19'!$M44+'Jul 19'!$M44+'Aug 19'!$M44+'Sept 19'!$M44+'Oct 19'!$M44+'Nov 19'!$M44+'Dec 19'!$M44</f>
        <v>0</v>
      </c>
      <c r="N44" s="151">
        <f t="shared" si="0"/>
        <v>12670.24</v>
      </c>
    </row>
    <row r="45" spans="1:14" ht="15.75">
      <c r="A45" s="175" t="s">
        <v>114</v>
      </c>
      <c r="B45" s="149">
        <f>'Jan 19'!$B45+'Feb 19'!$B45+'Mar 19'!$B45+'Apr 19'!$B45+'May 19'!$B45+'Jun 19'!$B45+'Jul 19'!$B45+'Aug 19'!$B45+'Sept 19'!$B45+'Oct 19'!$B45+'Nov 19'!$B45+'Dec 19'!$B45</f>
        <v>3257.73</v>
      </c>
      <c r="C45" s="149">
        <f>'Jan 19'!$C45+'Feb 19'!$C45+'Mar 19'!$C45+'Apr 19'!$C45+'May 19'!$C45+'Jun 19'!$C45+'Jul 19'!$C45+'Aug 19'!$C45+'Sept 19'!$C45+'Oct 19'!$C45+'Nov 19'!$C45+'Dec 19'!$C45</f>
        <v>9573.369999999999</v>
      </c>
      <c r="D45" s="149">
        <f>'Jan 19'!$D45+'Feb 19'!$D45+'Mar 19'!$D45+'Apr 19'!$D45+'May 19'!$D45+'Jun 19'!$D45+'Jul 19'!$D45+'Aug 19'!$D45+'Sept 19'!$D45+'Oct 19'!$D45+'Nov 19'!$D45+'Dec 19'!$D45</f>
        <v>0</v>
      </c>
      <c r="E45" s="150">
        <f>'Jan 19'!$E45+'Feb 19'!$E45+'Mar 19'!$E45+'Apr 19'!$E45+'May 19'!$E45+'Jun 19'!$E45+'Jul 19'!$E45+'Aug 19'!$E45+'Sept 19'!$E45+'Oct 19'!$E45+'Nov 19'!$E45+'Dec 19'!$E45</f>
        <v>1477.3599999999997</v>
      </c>
      <c r="F45" s="149">
        <f>'Jan 19'!$F45+'Feb 19'!$F45+'Mar 19'!$F45+'Apr 19'!$F45+'May 19'!$F45+'Jun 19'!$F45+'Jul 19'!$F45+'Aug 19'!$F45+'Sept 19'!$F45+'Oct 19'!$F45+'Nov 19'!$F45+'Dec 19'!$F45</f>
        <v>0</v>
      </c>
      <c r="G45" s="149">
        <f>'Jan 19'!$G45+'Feb 19'!$G45+'Mar 19'!$G45+'Apr 19'!$G45+'May 19'!$G45+'Jun 19'!$G45+'Jul 19'!$G45+'Aug 19'!$G45+'Sept 19'!$G45+'Oct 19'!$G45+'Nov 19'!$G45+'Dec 19'!$G45</f>
        <v>0</v>
      </c>
      <c r="H45" s="149">
        <f>'Jan 19'!$H45+'Feb 19'!$H45+'Mar 19'!$H45+'Apr 19'!$H45+'May 19'!$H45+'Jun 19'!$H45+'Jul 19'!$H45+'Aug 19'!$H45+'Sept 19'!$H45+'Oct 19'!$H45+'Nov 19'!$H45+'Dec 19'!$H45</f>
        <v>0</v>
      </c>
      <c r="I45" s="149">
        <f>'Jan 19'!$I45+'Feb 19'!$I45+'Mar 19'!$I45+'Apr 19'!$I45+'May 19'!$I45+'Jun 19'!$I45+'Jul 19'!$I45+'Aug 19'!$I45+'Sept 19'!$I45+'Oct 19'!$I45+'Nov 19'!$I45+'Dec 19'!$I45</f>
        <v>0</v>
      </c>
      <c r="J45" s="149">
        <f>'Jan 19'!$J45+'Feb 19'!$J45+'Mar 19'!$J45+'Apr 19'!$J45+'May 19'!$J45+'Jun 19'!$J45+'Jul 19'!$J45+'Aug 19'!$J45+'Sept 19'!$J45+'Oct 19'!$J45+'Nov 19'!$J45+'Dec 19'!$J45</f>
        <v>0</v>
      </c>
      <c r="K45" s="149">
        <f>'Jan 19'!$K45+'Feb 19'!$K45+'Mar 19'!$K45+'Apr 19'!$K45+'May 19'!$K45+'Jun 19'!$K45+'Jul 19'!$K45+'Aug 19'!$K45+'Sept 19'!$K45+'Oct 19'!$K45+'Nov 19'!$K45+'Dec 19'!$K45</f>
        <v>0</v>
      </c>
      <c r="L45" s="149">
        <f>'Jan 19'!$L45+'Feb 19'!$L45+'Mar 19'!$L45+'Apr 19'!$L45+'May 19'!$L45+'Jun 19'!$L45+'Jul 19'!$L45+'Aug 19'!$L45+'Sept 19'!$L45+'Oct 19'!$L45+'Nov 19'!$L45+'Dec 19'!$L45</f>
        <v>0</v>
      </c>
      <c r="M45" s="149">
        <f>'Jan 19'!$M45+'Feb 19'!$M45+'Mar 19'!$M45+'Apr 19'!$M45+'May 19'!$M45+'Jun 19'!$M45+'Jul 19'!$M45+'Aug 19'!$M45+'Sept 19'!$M45+'Oct 19'!$M45+'Nov 19'!$M45+'Dec 19'!$M45</f>
        <v>0</v>
      </c>
      <c r="N45" s="151">
        <f t="shared" si="0"/>
        <v>14308.46</v>
      </c>
    </row>
    <row r="46" spans="1:14" ht="15.75">
      <c r="A46" s="175" t="s">
        <v>115</v>
      </c>
      <c r="B46" s="149">
        <f>'Jan 19'!$B46+'Feb 19'!$B46+'Mar 19'!$B46+'Apr 19'!$B46+'May 19'!$B46+'Jun 19'!$B46+'Jul 19'!$B46+'Aug 19'!$B46+'Sept 19'!$B46+'Oct 19'!$B46+'Nov 19'!$B46+'Dec 19'!$B46</f>
        <v>4115.3</v>
      </c>
      <c r="C46" s="149">
        <f>'Jan 19'!$C46+'Feb 19'!$C46+'Mar 19'!$C46+'Apr 19'!$C46+'May 19'!$C46+'Jun 19'!$C46+'Jul 19'!$C46+'Aug 19'!$C46+'Sept 19'!$C46+'Oct 19'!$C46+'Nov 19'!$C46+'Dec 19'!$C46</f>
        <v>9573.369999999999</v>
      </c>
      <c r="D46" s="149">
        <f>'Jan 19'!$D46+'Feb 19'!$D46+'Mar 19'!$D46+'Apr 19'!$D46+'May 19'!$D46+'Jun 19'!$D46+'Jul 19'!$D46+'Aug 19'!$D46+'Sept 19'!$D46+'Oct 19'!$D46+'Nov 19'!$D46+'Dec 19'!$D46</f>
        <v>0</v>
      </c>
      <c r="E46" s="150">
        <f>'Jan 19'!$E46+'Feb 19'!$E46+'Mar 19'!$E46+'Apr 19'!$E46+'May 19'!$E46+'Jun 19'!$E46+'Jul 19'!$E46+'Aug 19'!$E46+'Sept 19'!$E46+'Oct 19'!$E46+'Nov 19'!$E46+'Dec 19'!$E46</f>
        <v>0</v>
      </c>
      <c r="F46" s="149">
        <f>'Jan 19'!$F46+'Feb 19'!$F46+'Mar 19'!$F46+'Apr 19'!$F46+'May 19'!$F46+'Jun 19'!$F46+'Jul 19'!$F46+'Aug 19'!$F46+'Sept 19'!$F46+'Oct 19'!$F46+'Nov 19'!$F46+'Dec 19'!$F46</f>
        <v>0</v>
      </c>
      <c r="G46" s="149">
        <f>'Jan 19'!$G46+'Feb 19'!$G46+'Mar 19'!$G46+'Apr 19'!$G46+'May 19'!$G46+'Jun 19'!$G46+'Jul 19'!$G46+'Aug 19'!$G46+'Sept 19'!$G46+'Oct 19'!$G46+'Nov 19'!$G46+'Dec 19'!$G46</f>
        <v>0</v>
      </c>
      <c r="H46" s="149">
        <f>'Jan 19'!$H46+'Feb 19'!$H46+'Mar 19'!$H46+'Apr 19'!$H46+'May 19'!$H46+'Jun 19'!$H46+'Jul 19'!$H46+'Aug 19'!$H46+'Sept 19'!$H46+'Oct 19'!$H46+'Nov 19'!$H46+'Dec 19'!$H46</f>
        <v>0</v>
      </c>
      <c r="I46" s="149">
        <f>'Jan 19'!$I46+'Feb 19'!$I46+'Mar 19'!$I46+'Apr 19'!$I46+'May 19'!$I46+'Jun 19'!$I46+'Jul 19'!$I46+'Aug 19'!$I46+'Sept 19'!$I46+'Oct 19'!$I46+'Nov 19'!$I46+'Dec 19'!$I46</f>
        <v>0</v>
      </c>
      <c r="J46" s="149">
        <f>'Jan 19'!$J46+'Feb 19'!$J46+'Mar 19'!$J46+'Apr 19'!$J46+'May 19'!$J46+'Jun 19'!$J46+'Jul 19'!$J46+'Aug 19'!$J46+'Sept 19'!$J46+'Oct 19'!$J46+'Nov 19'!$J46+'Dec 19'!$J46</f>
        <v>0</v>
      </c>
      <c r="K46" s="149">
        <f>'Jan 19'!$K46+'Feb 19'!$K46+'Mar 19'!$K46+'Apr 19'!$K46+'May 19'!$K46+'Jun 19'!$K46+'Jul 19'!$K46+'Aug 19'!$K46+'Sept 19'!$K46+'Oct 19'!$K46+'Nov 19'!$K46+'Dec 19'!$K46</f>
        <v>0</v>
      </c>
      <c r="L46" s="149">
        <f>'Jan 19'!$L46+'Feb 19'!$L46+'Mar 19'!$L46+'Apr 19'!$L46+'May 19'!$L46+'Jun 19'!$L46+'Jul 19'!$L46+'Aug 19'!$L46+'Sept 19'!$L46+'Oct 19'!$L46+'Nov 19'!$L46+'Dec 19'!$L46</f>
        <v>150</v>
      </c>
      <c r="M46" s="149">
        <f>'Jan 19'!$M46+'Feb 19'!$M46+'Mar 19'!$M46+'Apr 19'!$M46+'May 19'!$M46+'Jun 19'!$M46+'Jul 19'!$M46+'Aug 19'!$M46+'Sept 19'!$M46+'Oct 19'!$M46+'Nov 19'!$M46+'Dec 19'!$M46</f>
        <v>0</v>
      </c>
      <c r="N46" s="151">
        <f t="shared" si="0"/>
        <v>13838.669999999998</v>
      </c>
    </row>
    <row r="47" spans="1:14" ht="15.75">
      <c r="A47" s="175" t="s">
        <v>116</v>
      </c>
      <c r="B47" s="149">
        <f>'Jan 19'!$B47+'Feb 19'!$B47+'Mar 19'!$B47+'Apr 19'!$B47+'May 19'!$B47+'Jun 19'!$B47+'Jul 19'!$B47+'Aug 19'!$B47+'Sept 19'!$B47+'Oct 19'!$B47+'Nov 19'!$B47+'Dec 19'!$B47</f>
        <v>3150.49</v>
      </c>
      <c r="C47" s="149">
        <f>'Jan 19'!$C47+'Feb 19'!$C47+'Mar 19'!$C47+'Apr 19'!$C47+'May 19'!$C47+'Jun 19'!$C47+'Jul 19'!$C47+'Aug 19'!$C47+'Sept 19'!$C47+'Oct 19'!$C47+'Nov 19'!$C47+'Dec 19'!$C47</f>
        <v>9573.369999999999</v>
      </c>
      <c r="D47" s="149">
        <f>'Jan 19'!$D47+'Feb 19'!$D47+'Mar 19'!$D47+'Apr 19'!$D47+'May 19'!$D47+'Jun 19'!$D47+'Jul 19'!$D47+'Aug 19'!$D47+'Sept 19'!$D47+'Oct 19'!$D47+'Nov 19'!$D47+'Dec 19'!$D47</f>
        <v>0</v>
      </c>
      <c r="E47" s="150">
        <f>'Jan 19'!$E47+'Feb 19'!$E47+'Mar 19'!$E47+'Apr 19'!$E47+'May 19'!$E47+'Jun 19'!$E47+'Jul 19'!$E47+'Aug 19'!$E47+'Sept 19'!$E47+'Oct 19'!$E47+'Nov 19'!$E47+'Dec 19'!$E47</f>
        <v>0</v>
      </c>
      <c r="F47" s="149">
        <f>'Jan 19'!$F47+'Feb 19'!$F47+'Mar 19'!$F47+'Apr 19'!$F47+'May 19'!$F47+'Jun 19'!$F47+'Jul 19'!$F47+'Aug 19'!$F47+'Sept 19'!$F47+'Oct 19'!$F47+'Nov 19'!$F47+'Dec 19'!$F47</f>
        <v>0</v>
      </c>
      <c r="G47" s="149">
        <f>'Jan 19'!$G47+'Feb 19'!$G47+'Mar 19'!$G47+'Apr 19'!$G47+'May 19'!$G47+'Jun 19'!$G47+'Jul 19'!$G47+'Aug 19'!$G47+'Sept 19'!$G47+'Oct 19'!$G47+'Nov 19'!$G47+'Dec 19'!$G47</f>
        <v>0</v>
      </c>
      <c r="H47" s="149">
        <f>'Jan 19'!$H47+'Feb 19'!$H47+'Mar 19'!$H47+'Apr 19'!$H47+'May 19'!$H47+'Jun 19'!$H47+'Jul 19'!$H47+'Aug 19'!$H47+'Sept 19'!$H47+'Oct 19'!$H47+'Nov 19'!$H47+'Dec 19'!$H47</f>
        <v>0</v>
      </c>
      <c r="I47" s="149">
        <f>'Jan 19'!$I47+'Feb 19'!$I47+'Mar 19'!$I47+'Apr 19'!$I47+'May 19'!$I47+'Jun 19'!$I47+'Jul 19'!$I47+'Aug 19'!$I47+'Sept 19'!$I47+'Oct 19'!$I47+'Nov 19'!$I47+'Dec 19'!$I47</f>
        <v>0</v>
      </c>
      <c r="J47" s="149">
        <f>'Jan 19'!$J47+'Feb 19'!$J47+'Mar 19'!$J47+'Apr 19'!$J47+'May 19'!$J47+'Jun 19'!$J47+'Jul 19'!$J47+'Aug 19'!$J47+'Sept 19'!$J47+'Oct 19'!$J47+'Nov 19'!$J47+'Dec 19'!$J47</f>
        <v>0</v>
      </c>
      <c r="K47" s="149">
        <f>'Jan 19'!$K47+'Feb 19'!$K47+'Mar 19'!$K47+'Apr 19'!$K47+'May 19'!$K47+'Jun 19'!$K47+'Jul 19'!$K47+'Aug 19'!$K47+'Sept 19'!$K47+'Oct 19'!$K47+'Nov 19'!$K47+'Dec 19'!$K47</f>
        <v>0</v>
      </c>
      <c r="L47" s="149">
        <f>'Jan 19'!$L47+'Feb 19'!$L47+'Mar 19'!$L47+'Apr 19'!$L47+'May 19'!$L47+'Jun 19'!$L47+'Jul 19'!$L47+'Aug 19'!$L47+'Sept 19'!$L47+'Oct 19'!$L47+'Nov 19'!$L47+'Dec 19'!$L47</f>
        <v>0</v>
      </c>
      <c r="M47" s="149">
        <f>'Jan 19'!$M47+'Feb 19'!$M47+'Mar 19'!$M47+'Apr 19'!$M47+'May 19'!$M47+'Jun 19'!$M47+'Jul 19'!$M47+'Aug 19'!$M47+'Sept 19'!$M47+'Oct 19'!$M47+'Nov 19'!$M47+'Dec 19'!$M47</f>
        <v>0</v>
      </c>
      <c r="N47" s="151">
        <f t="shared" si="0"/>
        <v>12723.859999999999</v>
      </c>
    </row>
    <row r="48" spans="1:14" ht="15.75">
      <c r="A48" s="175" t="s">
        <v>117</v>
      </c>
      <c r="B48" s="149">
        <f>'Jan 19'!$B48+'Feb 19'!$B48+'Mar 19'!$B48+'Apr 19'!$B48+'May 19'!$B48+'Jun 19'!$B48+'Jul 19'!$B48+'Aug 19'!$B48+'Sept 19'!$B48+'Oct 19'!$B48+'Nov 19'!$B48+'Dec 19'!$B48</f>
        <v>3096.8700000000003</v>
      </c>
      <c r="C48" s="149">
        <f>'Jan 19'!$C48+'Feb 19'!$C48+'Mar 19'!$C48+'Apr 19'!$C48+'May 19'!$C48+'Jun 19'!$C48+'Jul 19'!$C48+'Aug 19'!$C48+'Sept 19'!$C48+'Oct 19'!$C48+'Nov 19'!$C48+'Dec 19'!$C48</f>
        <v>9573.369999999999</v>
      </c>
      <c r="D48" s="149">
        <f>'Jan 19'!$D48+'Feb 19'!$D48+'Mar 19'!$D48+'Apr 19'!$D48+'May 19'!$D48+'Jun 19'!$D48+'Jul 19'!$D48+'Aug 19'!$D48+'Sept 19'!$D48+'Oct 19'!$D48+'Nov 19'!$D48+'Dec 19'!$D48</f>
        <v>0</v>
      </c>
      <c r="E48" s="150">
        <f>'Jan 19'!$E48+'Feb 19'!$E48+'Mar 19'!$E48+'Apr 19'!$E48+'May 19'!$E48+'Jun 19'!$E48+'Jul 19'!$E48+'Aug 19'!$E48+'Sept 19'!$E48+'Oct 19'!$E48+'Nov 19'!$E48+'Dec 19'!$E48</f>
        <v>0</v>
      </c>
      <c r="F48" s="149">
        <f>'Jan 19'!$F48+'Feb 19'!$F48+'Mar 19'!$F48+'Apr 19'!$F48+'May 19'!$F48+'Jun 19'!$F48+'Jul 19'!$F48+'Aug 19'!$F48+'Sept 19'!$F48+'Oct 19'!$F48+'Nov 19'!$F48+'Dec 19'!$F48</f>
        <v>0</v>
      </c>
      <c r="G48" s="149">
        <f>'Jan 19'!$G48+'Feb 19'!$G48+'Mar 19'!$G48+'Apr 19'!$G48+'May 19'!$G48+'Jun 19'!$G48+'Jul 19'!$G48+'Aug 19'!$G48+'Sept 19'!$G48+'Oct 19'!$G48+'Nov 19'!$G48+'Dec 19'!$G48</f>
        <v>0</v>
      </c>
      <c r="H48" s="149">
        <f>'Jan 19'!$H48+'Feb 19'!$H48+'Mar 19'!$H48+'Apr 19'!$H48+'May 19'!$H48+'Jun 19'!$H48+'Jul 19'!$H48+'Aug 19'!$H48+'Sept 19'!$H48+'Oct 19'!$H48+'Nov 19'!$H48+'Dec 19'!$H48</f>
        <v>0</v>
      </c>
      <c r="I48" s="149">
        <f>'Jan 19'!$I48+'Feb 19'!$I48+'Mar 19'!$I48+'Apr 19'!$I48+'May 19'!$I48+'Jun 19'!$I48+'Jul 19'!$I48+'Aug 19'!$I48+'Sept 19'!$I48+'Oct 19'!$I48+'Nov 19'!$I48+'Dec 19'!$I48</f>
        <v>0</v>
      </c>
      <c r="J48" s="149">
        <f>'Jan 19'!$J48+'Feb 19'!$J48+'Mar 19'!$J48+'Apr 19'!$J48+'May 19'!$J48+'Jun 19'!$J48+'Jul 19'!$J48+'Aug 19'!$J48+'Sept 19'!$J48+'Oct 19'!$J48+'Nov 19'!$J48+'Dec 19'!$J48</f>
        <v>0</v>
      </c>
      <c r="K48" s="149">
        <f>'Jan 19'!$K48+'Feb 19'!$K48+'Mar 19'!$K48+'Apr 19'!$K48+'May 19'!$K48+'Jun 19'!$K48+'Jul 19'!$K48+'Aug 19'!$K48+'Sept 19'!$K48+'Oct 19'!$K48+'Nov 19'!$K48+'Dec 19'!$K48</f>
        <v>0</v>
      </c>
      <c r="L48" s="149">
        <f>'Jan 19'!$L48+'Feb 19'!$L48+'Mar 19'!$L48+'Apr 19'!$L48+'May 19'!$L48+'Jun 19'!$L48+'Jul 19'!$L48+'Aug 19'!$L48+'Sept 19'!$L48+'Oct 19'!$L48+'Nov 19'!$L48+'Dec 19'!$L48</f>
        <v>0</v>
      </c>
      <c r="M48" s="149">
        <f>'Jan 19'!$M48+'Feb 19'!$M48+'Mar 19'!$M48+'Apr 19'!$M48+'May 19'!$M48+'Jun 19'!$M48+'Jul 19'!$M48+'Aug 19'!$M48+'Sept 19'!$M48+'Oct 19'!$M48+'Nov 19'!$M48+'Dec 19'!$M48</f>
        <v>0</v>
      </c>
      <c r="N48" s="151">
        <f t="shared" si="0"/>
        <v>12670.24</v>
      </c>
    </row>
    <row r="49" spans="1:14" ht="15.75">
      <c r="A49" s="175" t="s">
        <v>118</v>
      </c>
      <c r="B49" s="149">
        <f>'Jan 19'!$B49+'Feb 19'!$B49+'Mar 19'!$B49+'Apr 19'!$B49+'May 19'!$B49+'Jun 19'!$B49+'Jul 19'!$B49+'Aug 19'!$B49+'Sept 19'!$B49+'Oct 19'!$B49+'Nov 19'!$B49+'Dec 19'!$B49</f>
        <v>3096.8700000000003</v>
      </c>
      <c r="C49" s="149">
        <f>'Jan 19'!$C49+'Feb 19'!$C49+'Mar 19'!$C49+'Apr 19'!$C49+'May 19'!$C49+'Jun 19'!$C49+'Jul 19'!$C49+'Aug 19'!$C49+'Sept 19'!$C49+'Oct 19'!$C49+'Nov 19'!$C49+'Dec 19'!$C49</f>
        <v>9573.369999999999</v>
      </c>
      <c r="D49" s="149">
        <f>'Jan 19'!$D49+'Feb 19'!$D49+'Mar 19'!$D49+'Apr 19'!$D49+'May 19'!$D49+'Jun 19'!$D49+'Jul 19'!$D49+'Aug 19'!$D49+'Sept 19'!$D49+'Oct 19'!$D49+'Nov 19'!$D49+'Dec 19'!$D49</f>
        <v>0</v>
      </c>
      <c r="E49" s="150">
        <f>'Jan 19'!$E49+'Feb 19'!$E49+'Mar 19'!$E49+'Apr 19'!$E49+'May 19'!$E49+'Jun 19'!$E49+'Jul 19'!$E49+'Aug 19'!$E49+'Sept 19'!$E49+'Oct 19'!$E49+'Nov 19'!$E49+'Dec 19'!$E49</f>
        <v>85.7</v>
      </c>
      <c r="F49" s="149">
        <f>'Jan 19'!$F49+'Feb 19'!$F49+'Mar 19'!$F49+'Apr 19'!$F49+'May 19'!$F49+'Jun 19'!$F49+'Jul 19'!$F49+'Aug 19'!$F49+'Sept 19'!$F49+'Oct 19'!$F49+'Nov 19'!$F49+'Dec 19'!$F49</f>
        <v>2975.07</v>
      </c>
      <c r="G49" s="149">
        <f>'Jan 19'!$G49+'Feb 19'!$G49+'Mar 19'!$G49+'Apr 19'!$G49+'May 19'!$G49+'Jun 19'!$G49+'Jul 19'!$G49+'Aug 19'!$G49+'Sept 19'!$G49+'Oct 19'!$G49+'Nov 19'!$G49+'Dec 19'!$G49</f>
        <v>0</v>
      </c>
      <c r="H49" s="149">
        <f>'Jan 19'!$H49+'Feb 19'!$H49+'Mar 19'!$H49+'Apr 19'!$H49+'May 19'!$H49+'Jun 19'!$H49+'Jul 19'!$H49+'Aug 19'!$H49+'Sept 19'!$H49+'Oct 19'!$H49+'Nov 19'!$H49+'Dec 19'!$H49</f>
        <v>0</v>
      </c>
      <c r="I49" s="149">
        <f>'Jan 19'!$I49+'Feb 19'!$I49+'Mar 19'!$I49+'Apr 19'!$I49+'May 19'!$I49+'Jun 19'!$I49+'Jul 19'!$I49+'Aug 19'!$I49+'Sept 19'!$I49+'Oct 19'!$I49+'Nov 19'!$I49+'Dec 19'!$I49</f>
        <v>0</v>
      </c>
      <c r="J49" s="149">
        <f>'Jan 19'!$J49+'Feb 19'!$J49+'Mar 19'!$J49+'Apr 19'!$J49+'May 19'!$J49+'Jun 19'!$J49+'Jul 19'!$J49+'Aug 19'!$J49+'Sept 19'!$J49+'Oct 19'!$J49+'Nov 19'!$J49+'Dec 19'!$J49</f>
        <v>0</v>
      </c>
      <c r="K49" s="149">
        <f>'Jan 19'!$K49+'Feb 19'!$K49+'Mar 19'!$K49+'Apr 19'!$K49+'May 19'!$K49+'Jun 19'!$K49+'Jul 19'!$K49+'Aug 19'!$K49+'Sept 19'!$K49+'Oct 19'!$K49+'Nov 19'!$K49+'Dec 19'!$K49</f>
        <v>0</v>
      </c>
      <c r="L49" s="149">
        <f>'Jan 19'!$L49+'Feb 19'!$L49+'Mar 19'!$L49+'Apr 19'!$L49+'May 19'!$L49+'Jun 19'!$L49+'Jul 19'!$L49+'Aug 19'!$L49+'Sept 19'!$L49+'Oct 19'!$L49+'Nov 19'!$L49+'Dec 19'!$L49</f>
        <v>0</v>
      </c>
      <c r="M49" s="149">
        <f>'Jan 19'!$M49+'Feb 19'!$M49+'Mar 19'!$M49+'Apr 19'!$M49+'May 19'!$M49+'Jun 19'!$M49+'Jul 19'!$M49+'Aug 19'!$M49+'Sept 19'!$M49+'Oct 19'!$M49+'Nov 19'!$M49+'Dec 19'!$M49</f>
        <v>0</v>
      </c>
      <c r="N49" s="151">
        <f t="shared" si="0"/>
        <v>15731.01</v>
      </c>
    </row>
    <row r="50" spans="1:14" ht="15.75">
      <c r="A50" s="175" t="s">
        <v>119</v>
      </c>
      <c r="B50" s="149">
        <f>'Jan 19'!$B50+'Feb 19'!$B50+'Mar 19'!$B50+'Apr 19'!$B50+'May 19'!$B50+'Jun 19'!$B50+'Jul 19'!$B50+'Aug 19'!$B50+'Sept 19'!$B50+'Oct 19'!$B50+'Nov 19'!$B50+'Dec 19'!$B50</f>
        <v>3096.8700000000003</v>
      </c>
      <c r="C50" s="149">
        <f>'Jan 19'!$C50+'Feb 19'!$C50+'Mar 19'!$C50+'Apr 19'!$C50+'May 19'!$C50+'Jun 19'!$C50+'Jul 19'!$C50+'Aug 19'!$C50+'Sept 19'!$C50+'Oct 19'!$C50+'Nov 19'!$C50+'Dec 19'!$C50</f>
        <v>9573.369999999999</v>
      </c>
      <c r="D50" s="149">
        <f>'Jan 19'!$D50+'Feb 19'!$D50+'Mar 19'!$D50+'Apr 19'!$D50+'May 19'!$D50+'Jun 19'!$D50+'Jul 19'!$D50+'Aug 19'!$D50+'Sept 19'!$D50+'Oct 19'!$D50+'Nov 19'!$D50+'Dec 19'!$D50</f>
        <v>0</v>
      </c>
      <c r="E50" s="150">
        <f>'Jan 19'!$E50+'Feb 19'!$E50+'Mar 19'!$E50+'Apr 19'!$E50+'May 19'!$E50+'Jun 19'!$E50+'Jul 19'!$E50+'Aug 19'!$E50+'Sept 19'!$E50+'Oct 19'!$E50+'Nov 19'!$E50+'Dec 19'!$E50</f>
        <v>1318.0300000000002</v>
      </c>
      <c r="F50" s="149">
        <f>'Jan 19'!$F50+'Feb 19'!$F50+'Mar 19'!$F50+'Apr 19'!$F50+'May 19'!$F50+'Jun 19'!$F50+'Jul 19'!$F50+'Aug 19'!$F50+'Sept 19'!$F50+'Oct 19'!$F50+'Nov 19'!$F50+'Dec 19'!$F50</f>
        <v>0</v>
      </c>
      <c r="G50" s="149">
        <f>'Jan 19'!$G50+'Feb 19'!$G50+'Mar 19'!$G50+'Apr 19'!$G50+'May 19'!$G50+'Jun 19'!$G50+'Jul 19'!$G50+'Aug 19'!$G50+'Sept 19'!$G50+'Oct 19'!$G50+'Nov 19'!$G50+'Dec 19'!$G50</f>
        <v>0</v>
      </c>
      <c r="H50" s="149">
        <f>'Jan 19'!$H50+'Feb 19'!$H50+'Mar 19'!$H50+'Apr 19'!$H50+'May 19'!$H50+'Jun 19'!$H50+'Jul 19'!$H50+'Aug 19'!$H50+'Sept 19'!$H50+'Oct 19'!$H50+'Nov 19'!$H50+'Dec 19'!$H50</f>
        <v>0</v>
      </c>
      <c r="I50" s="149">
        <f>'Jan 19'!$I50+'Feb 19'!$I50+'Mar 19'!$I50+'Apr 19'!$I50+'May 19'!$I50+'Jun 19'!$I50+'Jul 19'!$I50+'Aug 19'!$I50+'Sept 19'!$I50+'Oct 19'!$I50+'Nov 19'!$I50+'Dec 19'!$I50</f>
        <v>0</v>
      </c>
      <c r="J50" s="149">
        <f>'Jan 19'!$J50+'Feb 19'!$J50+'Mar 19'!$J50+'Apr 19'!$J50+'May 19'!$J50+'Jun 19'!$J50+'Jul 19'!$J50+'Aug 19'!$J50+'Sept 19'!$J50+'Oct 19'!$J50+'Nov 19'!$J50+'Dec 19'!$J50</f>
        <v>0</v>
      </c>
      <c r="K50" s="149">
        <f>'Jan 19'!$K50+'Feb 19'!$K50+'Mar 19'!$K50+'Apr 19'!$K50+'May 19'!$K50+'Jun 19'!$K50+'Jul 19'!$K50+'Aug 19'!$K50+'Sept 19'!$K50+'Oct 19'!$K50+'Nov 19'!$K50+'Dec 19'!$K50</f>
        <v>0</v>
      </c>
      <c r="L50" s="149">
        <f>'Jan 19'!$L50+'Feb 19'!$L50+'Mar 19'!$L50+'Apr 19'!$L50+'May 19'!$L50+'Jun 19'!$L50+'Jul 19'!$L50+'Aug 19'!$L50+'Sept 19'!$L50+'Oct 19'!$L50+'Nov 19'!$L50+'Dec 19'!$L50</f>
        <v>0</v>
      </c>
      <c r="M50" s="149">
        <f>'Jan 19'!$M50+'Feb 19'!$M50+'Mar 19'!$M50+'Apr 19'!$M50+'May 19'!$M50+'Jun 19'!$M50+'Jul 19'!$M50+'Aug 19'!$M50+'Sept 19'!$M50+'Oct 19'!$M50+'Nov 19'!$M50+'Dec 19'!$M50</f>
        <v>0</v>
      </c>
      <c r="N50" s="151">
        <f t="shared" si="0"/>
        <v>13988.27</v>
      </c>
    </row>
    <row r="51" spans="1:14" ht="15.75">
      <c r="A51" s="175" t="s">
        <v>120</v>
      </c>
      <c r="B51" s="149">
        <f>'Jan 19'!$B51+'Feb 19'!$B51+'Mar 19'!$B51+'Apr 19'!$B51+'May 19'!$B51+'Jun 19'!$B51+'Jul 19'!$B51+'Aug 19'!$B51+'Sept 19'!$B51+'Oct 19'!$B51+'Nov 19'!$B51+'Dec 19'!$B51</f>
        <v>3096.8700000000003</v>
      </c>
      <c r="C51" s="149">
        <f>'Jan 19'!$C51+'Feb 19'!$C51+'Mar 19'!$C51+'Apr 19'!$C51+'May 19'!$C51+'Jun 19'!$C51+'Jul 19'!$C51+'Aug 19'!$C51+'Sept 19'!$C51+'Oct 19'!$C51+'Nov 19'!$C51+'Dec 19'!$C51</f>
        <v>9573.369999999999</v>
      </c>
      <c r="D51" s="149">
        <f>'Jan 19'!$D44+'Feb 19'!$D51+'Mar 19'!$D51+'Apr 19'!$D51+'May 19'!$D46+'Jun 19'!$D51+'Jul 19'!$D51+'Aug 19'!$D51+'Sept 19'!$D51+'Oct 19'!$D51+'Nov 19'!$D51+'Dec 19'!$D51</f>
        <v>0</v>
      </c>
      <c r="E51" s="150">
        <f>'Jan 19'!$E51+'Feb 19'!$E51+'Mar 19'!$E51+'Apr 19'!$E51+'May 19'!$E51+'Jun 19'!$E51+'Jul 19'!$E51+'Aug 19'!$E51+'Sept 19'!$E51+'Oct 19'!$E51+'Nov 19'!$E51+'Dec 19'!$E51</f>
        <v>424.89</v>
      </c>
      <c r="F51" s="149">
        <f>'Jan 19'!$F51+'Feb 19'!$F51+'Mar 19'!$F51+'Apr 19'!$F51+'May 19'!$F51+'Jun 19'!$F51+'Jul 19'!$F51+'Aug 19'!$F51+'Sept 19'!$F51+'Oct 19'!$F51+'Nov 19'!$F51+'Dec 19'!$F51</f>
        <v>0</v>
      </c>
      <c r="G51" s="149">
        <f>'Jan 19'!$G51+'Feb 19'!$G51+'Mar 19'!$G51+'Apr 19'!$G51+'May 19'!$G51+'Jun 19'!$G51+'Jul 19'!$G51+'Aug 19'!$G51+'Sept 19'!$G51+'Oct 19'!$G51+'Nov 19'!$G51+'Dec 19'!$G51</f>
        <v>0</v>
      </c>
      <c r="H51" s="149">
        <f>'Jan 19'!$H51+'Feb 19'!$H51+'Mar 19'!$H51+'Apr 19'!$H51+'May 19'!$H51+'Jun 19'!$H51+'Jul 19'!$H51+'Aug 19'!$H51+'Sept 19'!$H51+'Oct 19'!$H51+'Nov 19'!$H51+'Dec 19'!$H51</f>
        <v>0</v>
      </c>
      <c r="I51" s="149">
        <f>'Jan 19'!$I51+'Feb 19'!$I51+'Mar 19'!$I51+'Apr 19'!$I51+'May 19'!$I51+'Jun 19'!$I51+'Jul 19'!$I51+'Aug 19'!$I51+'Sept 19'!$I51+'Oct 19'!$I51+'Nov 19'!$I51+'Dec 19'!$I51</f>
        <v>0</v>
      </c>
      <c r="J51" s="149">
        <f>'Jan 19'!$J51+'Feb 19'!$J51+'Mar 19'!$J51+'Apr 19'!$J51+'May 19'!$J51+'Jun 19'!$J51+'Jul 19'!$J51+'Aug 19'!$J51+'Sept 19'!$J51+'Oct 19'!$J51+'Nov 19'!$J51+'Dec 19'!$J51</f>
        <v>0</v>
      </c>
      <c r="K51" s="149">
        <f>'Jan 19'!$K51+'Feb 19'!$K51+'Mar 19'!$K51+'Apr 19'!$K51+'May 19'!$K51+'Jun 19'!$K51+'Jul 19'!$K51+'Aug 19'!$K51+'Sept 19'!$K51+'Oct 19'!$K51+'Nov 19'!$K51+'Dec 19'!$K51</f>
        <v>0</v>
      </c>
      <c r="L51" s="149">
        <f>'Jan 19'!$L51+'Feb 19'!$L51+'Mar 19'!$L51+'Apr 19'!$L51+'May 19'!$L51+'Jun 19'!$L51+'Jul 19'!$L51+'Aug 19'!$L51+'Sept 19'!$L51+'Oct 19'!$L51+'Nov 19'!$L51+'Dec 19'!$L51</f>
        <v>0</v>
      </c>
      <c r="M51" s="149">
        <f>'Jan 19'!$M51+'Feb 19'!$M51+'Mar 19'!$M51+'Apr 19'!$M51+'May 19'!$M51+'Jun 19'!$M51+'Jul 19'!$M51+'Aug 19'!$M51+'Sept 19'!$M51+'Oct 19'!$M51+'Nov 19'!$M51+'Dec 19'!$M51</f>
        <v>0</v>
      </c>
      <c r="N51" s="151">
        <f t="shared" si="0"/>
        <v>13095.13</v>
      </c>
    </row>
    <row r="52" spans="1:14" ht="15.75">
      <c r="A52" s="175" t="s">
        <v>121</v>
      </c>
      <c r="B52" s="149">
        <f>'Jan 19'!$B45+'Feb 19'!$B52+'Mar 19'!$B52+'Apr 19'!$B52+'May 19'!$B47+'Jun 19'!$B52+'Jul 19'!$B52+'Aug 19'!$B52+'Sept 19'!$B52+'Oct 19'!$B52+'Nov 19'!$B52+'Dec 19'!$B52</f>
        <v>3096.8700000000003</v>
      </c>
      <c r="C52" s="149">
        <f>'Jan 19'!$C45+'Feb 19'!$C52+'Mar 19'!$C52+'Apr 19'!$C52+'May 19'!$C47+'Jun 19'!$C52+'Jul 19'!$C52+'Aug 19'!$C52+'Sept 19'!$C52+'Oct 19'!$C52+'Nov 19'!$C52+'Dec 19'!$C52</f>
        <v>9573.369999999999</v>
      </c>
      <c r="D52" s="149">
        <f>'Jan 19'!$D45+'Feb 19'!$D52+'Mar 19'!$D52+'Apr 19'!$D52+'May 19'!$D47+'Jun 19'!$D52+'Jul 19'!$D52+'Aug 19'!$D52+'Sept 19'!$D52+'Oct 19'!$D52+'Nov 19'!$D52+'Dec 19'!$D52</f>
        <v>0</v>
      </c>
      <c r="E52" s="150">
        <f>'Jan 19'!$E45+'Feb 19'!$E52+'Mar 19'!$E52+'Apr 19'!$E52+'May 19'!$E47+'Jun 19'!$E52+'Jul 19'!$E52+'Aug 19'!$E52+'Sept 19'!$E52+'Oct 19'!$E52+'Nov 19'!$E52+'Dec 19'!$E52</f>
        <v>902.24</v>
      </c>
      <c r="F52" s="149">
        <f>'Jan 19'!$F45+'Feb 19'!$F52+'Mar 19'!$F52+'Apr 19'!$F52+'May 19'!$F47+'Jun 19'!$F52+'Jul 19'!$F52+'Aug 19'!$F52+'Sept 19'!$F52+'Oct 19'!$F52+'Nov 19'!$F52+'Dec 19'!$F52</f>
        <v>0</v>
      </c>
      <c r="G52" s="149">
        <f>'Jan 19'!$G52+'Feb 19'!$G52+'Mar 19'!$G52+'Apr 19'!$G52+'May 19'!$G52+'Jun 19'!$G52+'Jul 19'!$G52+'Aug 19'!$G52+'Sept 19'!$G52+'Oct 19'!$G52+'Nov 19'!$G52+'Dec 19'!$G52</f>
        <v>0</v>
      </c>
      <c r="H52" s="149">
        <f>'Jan 19'!$H45+'Feb 19'!$H52+'Mar 19'!$H52+'Apr 19'!$H52+'May 19'!$H47+'Jun 19'!$H52+'Jul 19'!$H52+'Aug 19'!$H52+'Sept 19'!$H52+'Oct 19'!$H52+'Nov 19'!$H52+'Dec 19'!$H52</f>
        <v>0</v>
      </c>
      <c r="I52" s="149">
        <f>'Jan 19'!$I52+'Feb 19'!$I52+'Mar 19'!$I52+'Apr 19'!$I52+'May 19'!$I52+'Jun 19'!$I52+'Jul 19'!$I52+'Aug 19'!$I52+'Sept 19'!$I52+'Oct 19'!$I52+'Nov 19'!$I52+'Dec 19'!$I52</f>
        <v>0</v>
      </c>
      <c r="J52" s="149">
        <f>'Jan 19'!$J45+'Feb 19'!$J52+'Mar 19'!$J52+'Apr 19'!$J52+'May 19'!$J47+'Jun 19'!$J52+'Jul 19'!$J52+'Aug 19'!$J52+'Sept 19'!$J52+'Oct 19'!$J52+'Nov 19'!$J52+'Dec 19'!$J52</f>
        <v>0</v>
      </c>
      <c r="K52" s="149">
        <f>'Jan 19'!$K45+'Feb 19'!$K52+'Mar 19'!$K52+'Apr 19'!$K52+'May 19'!$K47+'Jun 19'!$K52+'Jul 19'!$K52+'Aug 19'!$K52+'Sept 19'!$K52+'Oct 19'!$K52+'Nov 19'!$K52+'Dec 19'!$K52</f>
        <v>0</v>
      </c>
      <c r="L52" s="149">
        <f>'Jan 19'!$L45+'Feb 19'!$L52+'Mar 19'!$L52+'Apr 19'!$L52+'May 19'!$L47+'Jun 19'!$L52+'Jul 19'!$L52+'Aug 19'!$L52+'Sept 19'!$L52+'Oct 19'!$L52+'Nov 19'!$L52+'Dec 19'!$L52</f>
        <v>0</v>
      </c>
      <c r="M52" s="149">
        <f>'Jan 19'!$M45+'Feb 19'!$M52+'Mar 19'!$M52+'Apr 19'!$M52+'May 19'!$M47+'Jun 19'!$M52+'Jul 19'!$M52+'Aug 19'!$M52+'Sept 19'!$M52+'Oct 19'!$M52+'Nov 19'!$M52+'Dec 19'!$M52</f>
        <v>3500</v>
      </c>
      <c r="N52" s="151">
        <f t="shared" si="0"/>
        <v>17072.48</v>
      </c>
    </row>
    <row r="53" spans="1:14" ht="15.75">
      <c r="A53" s="175" t="s">
        <v>122</v>
      </c>
      <c r="B53" s="149">
        <f>'Jan 19'!$B46+'Feb 19'!$B53+'Mar 19'!$B53+'Apr 19'!$B53+'May 19'!$B48+'Jun 19'!$B53+'Jul 19'!$B53+'Aug 19'!$B53+'Sept 19'!$B53+'Oct 19'!$B53+'Nov 19'!$B53+'Dec 19'!$B53</f>
        <v>3096.8700000000003</v>
      </c>
      <c r="C53" s="149">
        <f>'Jan 19'!$C46+'Feb 19'!$C53+'Mar 19'!$C53+'Apr 19'!$C53+'May 19'!$C48+'Jun 19'!$C53+'Jul 19'!$C53+'Aug 19'!$C53+'Sept 19'!$C53+'Oct 19'!$C53+'Nov 19'!$C53+'Dec 19'!$C53</f>
        <v>9573.369999999999</v>
      </c>
      <c r="D53" s="149">
        <f>'Jan 19'!$D46+'Feb 19'!$D53+'Mar 19'!$D53+'Apr 19'!$D53+'May 19'!$D48+'Jun 19'!$D53+'Jul 19'!$D53+'Aug 19'!$D53+'Sept 19'!$D53+'Oct 19'!$D53+'Nov 19'!$D53+'Dec 19'!$D53</f>
        <v>0</v>
      </c>
      <c r="E53" s="150">
        <f>'Jan 19'!$E46+'Feb 19'!$E53+'Mar 19'!$E53+'Apr 19'!$E53+'May 19'!$E48+'Jun 19'!$E53+'Jul 19'!$E53+'Aug 19'!$E53+'Sept 19'!$E53+'Oct 19'!$E53+'Nov 19'!$E53+'Dec 19'!$E53</f>
        <v>0</v>
      </c>
      <c r="F53" s="149">
        <f>'Jan 19'!$F46+'Feb 19'!$F53+'Mar 19'!$F53+'Apr 19'!$F53+'May 19'!$F48+'Jun 19'!$F53+'Jul 19'!$F53+'Aug 19'!$F53+'Sept 19'!$F53+'Oct 19'!$F53+'Nov 19'!$F53+'Dec 19'!$F53</f>
        <v>0</v>
      </c>
      <c r="G53" s="149">
        <f>'Jan 19'!$G46+'Feb 19'!$G53+'Mar 19'!$G53+'Apr 19'!$G53+'May 19'!$G48+'Jun 19'!$G53+'Jul 19'!$G53+'Aug 19'!$G53+'Sept 19'!$G53+'Oct 19'!$G53+'Nov 19'!$G53+'Dec 19'!$G53</f>
        <v>0</v>
      </c>
      <c r="H53" s="149">
        <f>'Jan 19'!$H46+'Feb 19'!$H53+'Mar 19'!$H53+'Apr 19'!$H53+'May 19'!$H48+'Jun 19'!$H53+'Jul 19'!$H53+'Aug 19'!$H53+'Sept 19'!$H53+'Oct 19'!$H53+'Nov 19'!$H53+'Dec 19'!$H53</f>
        <v>0</v>
      </c>
      <c r="I53" s="149">
        <f>'Jan 19'!$I46+'Feb 19'!$I53+'Mar 19'!$I53+'Apr 19'!$I53+'May 19'!$I48+'Jun 19'!$I53+'Jul 19'!$I53+'Aug 19'!$I53+'Sept 19'!$I53+'Oct 19'!$I53+'Nov 19'!$I53+'Dec 19'!$I53</f>
        <v>0</v>
      </c>
      <c r="J53" s="149">
        <f>'Jan 19'!$J46+'Feb 19'!$J53+'Mar 19'!$J53+'Apr 19'!$J53+'May 19'!$J48+'Jun 19'!$J53+'Jul 19'!$J53+'Aug 19'!$J53+'Sept 19'!$J53+'Oct 19'!$J53+'Nov 19'!$J53+'Dec 19'!$J53</f>
        <v>0</v>
      </c>
      <c r="K53" s="149">
        <f>'Jan 19'!$K46+'Feb 19'!$K53+'Mar 19'!$K53+'Apr 19'!$K53+'May 19'!$K48+'Jun 19'!$K53+'Jul 19'!$K53+'Aug 19'!$K53+'Sept 19'!$K53+'Oct 19'!$K53+'Nov 19'!$K53+'Dec 19'!$K53</f>
        <v>0</v>
      </c>
      <c r="L53" s="149">
        <f>'Jan 19'!$L46+'Feb 19'!$L53+'Mar 19'!$L53+'Apr 19'!$L53+'May 19'!$L48+'Jun 19'!$L53+'Jul 19'!$L53+'Aug 19'!$L53+'Sept 19'!$L53+'Oct 19'!$L53+'Nov 19'!$L53+'Dec 19'!$L53</f>
        <v>150</v>
      </c>
      <c r="M53" s="149">
        <f>'Jan 19'!$M46+'Feb 19'!$M53+'Mar 19'!$M53+'Apr 19'!$M53+'May 19'!$M48+'Jun 19'!$M53+'Jul 19'!$M53+'Aug 19'!$M53+'Sept 19'!$M53+'Oct 19'!$M53+'Nov 19'!$M53+'Dec 19'!$M53</f>
        <v>0</v>
      </c>
      <c r="N53" s="151">
        <f t="shared" si="0"/>
        <v>12820.24</v>
      </c>
    </row>
    <row r="54" spans="1:14" ht="15.75">
      <c r="A54" s="175" t="s">
        <v>123</v>
      </c>
      <c r="B54" s="149">
        <f>'Jan 19'!$B47+'Feb 19'!$B54+'Mar 19'!$B54+'Apr 19'!$B54+'May 19'!$B49+'Jun 19'!$B54+'Jul 19'!$B54+'Aug 19'!$B54+'Sept 19'!$B54+'Oct 19'!$B54+'Nov 19'!$B54+'Dec 19'!$B54</f>
        <v>3096.8700000000003</v>
      </c>
      <c r="C54" s="149">
        <f>'Jan 19'!$C47+'Feb 19'!$C54+'Mar 19'!$C54+'Apr 19'!$C54+'May 19'!$C49+'Jun 19'!$C54+'Jul 19'!$C54+'Aug 19'!$C54+'Sept 19'!$C54+'Oct 19'!$C54+'Nov 19'!$C54+'Dec 19'!$C54</f>
        <v>9573.369999999999</v>
      </c>
      <c r="D54" s="149">
        <f>'Jan 19'!$D47+'Feb 19'!$D54+'Mar 19'!$D54+'Apr 19'!$D54+'May 19'!$D49+'Jun 19'!$D54+'Jul 19'!$D54+'Aug 19'!$D54+'Sept 19'!$D54+'Oct 19'!$D54+'Nov 19'!$D54+'Dec 19'!$D54</f>
        <v>349.96</v>
      </c>
      <c r="E54" s="150">
        <f>'Jan 19'!$E47+'Feb 19'!$E54+'Mar 19'!$E54+'Apr 19'!$E54+'May 19'!$E49+'Jun 19'!$E54+'Jul 19'!$E54+'Aug 19'!$E54+'Sept 19'!$E54+'Oct 19'!$E54+'Nov 19'!$E54+'Dec 19'!$E54</f>
        <v>408.48</v>
      </c>
      <c r="F54" s="149">
        <f>'Jan 19'!$F47+'Feb 19'!$F54+'Mar 19'!$F54+'Apr 19'!$F54+'May 19'!$F49+'Jun 19'!$F54+'Jul 19'!$F54+'Aug 19'!$F54+'Sept 19'!$F54+'Oct 19'!$F54+'Nov 19'!$F54+'Dec 19'!$F54</f>
        <v>0</v>
      </c>
      <c r="G54" s="149">
        <f>'Jan 19'!$G47+'Feb 19'!$G54+'Mar 19'!$G54+'Apr 19'!$G54+'May 19'!$G49+'Jun 19'!$G54+'Jul 19'!$G54+'Aug 19'!$G54+'Sept 19'!$G54+'Oct 19'!$G54+'Nov 19'!$G54+'Dec 19'!$G54</f>
        <v>0</v>
      </c>
      <c r="H54" s="149">
        <f>'Jan 19'!$H47+'Feb 19'!$H54+'Mar 19'!$H54+'Apr 19'!$H54+'May 19'!$H49+'Jun 19'!$H54+'Jul 19'!$H54+'Aug 19'!$H54+'Sept 19'!$H54+'Oct 19'!$H54+'Nov 19'!$H54+'Dec 19'!$H54</f>
        <v>0</v>
      </c>
      <c r="I54" s="149">
        <f>'Jan 19'!$I47+'Feb 19'!$I54+'Mar 19'!$I54+'Apr 19'!$I54+'May 19'!$I49+'Jun 19'!$I54+'Jul 19'!$I54+'Aug 19'!$I54+'Sept 19'!$I54+'Oct 19'!$I54+'Nov 19'!$I54+'Dec 19'!$I54</f>
        <v>0</v>
      </c>
      <c r="J54" s="149">
        <f>'Jan 19'!$J47+'Feb 19'!$J54+'Mar 19'!$J54+'Apr 19'!$J54+'May 19'!$J49+'Jun 19'!$J54+'Jul 19'!$J54+'Aug 19'!$J54+'Sept 19'!$J54+'Oct 19'!$J54+'Nov 19'!$J54+'Dec 19'!$J54</f>
        <v>0</v>
      </c>
      <c r="K54" s="149">
        <f>'Jan 19'!$K47+'Feb 19'!$K54+'Mar 19'!$K54+'Apr 19'!$K54+'May 19'!$K49+'Jun 19'!$K54+'Jul 19'!$K54+'Aug 19'!$K54+'Sept 19'!$K54+'Oct 19'!$K54+'Nov 19'!$K54+'Dec 19'!$K54</f>
        <v>0</v>
      </c>
      <c r="L54" s="149">
        <f>'Jan 19'!$L47+'Feb 19'!$L54+'Mar 19'!$L54+'Apr 19'!$L54+'May 19'!$L49+'Jun 19'!$L54+'Jul 19'!$L54+'Aug 19'!$L54+'Sept 19'!$L54+'Oct 19'!$L54+'Nov 19'!$L54+'Dec 19'!$L54</f>
        <v>0</v>
      </c>
      <c r="M54" s="149">
        <f>'Jan 19'!$M47+'Feb 19'!$M54+'Mar 19'!$M54+'Apr 19'!$M54+'May 19'!$M49+'Jun 19'!$M54+'Jul 19'!$M54+'Aug 19'!$M54+'Sept 19'!$M54+'Oct 19'!$M54+'Nov 19'!$M54+'Dec 19'!$M54</f>
        <v>0</v>
      </c>
      <c r="N54" s="151">
        <f t="shared" si="0"/>
        <v>13428.679999999998</v>
      </c>
    </row>
    <row r="55" spans="1:14" ht="15.75">
      <c r="A55" s="175" t="s">
        <v>124</v>
      </c>
      <c r="B55" s="149">
        <f>'Jan 19'!$B48+'Feb 19'!$B55+'Mar 19'!$B55+'Apr 19'!$B55+'May 19'!$B50+'Jun 19'!$B55+'Jul 19'!$B55+'Aug 19'!$B55+'Sept 19'!$B55+'Oct 19'!$B55+'Nov 19'!$B55+'Dec 19'!$B55</f>
        <v>3096.8700000000003</v>
      </c>
      <c r="C55" s="149">
        <f>'Jan 19'!$C48+'Feb 19'!$C55+'Mar 19'!$C55+'Apr 19'!$C55+'May 19'!$C50+'Jun 19'!$C55+'Jul 19'!$C55+'Aug 19'!$C55+'Sept 19'!$C55+'Oct 19'!$C55+'Nov 19'!$C55+'Dec 19'!$C55</f>
        <v>9573.369999999999</v>
      </c>
      <c r="D55" s="149">
        <f>'Jan 19'!$D48+'Feb 19'!$D55+'Mar 19'!$D55+'Apr 19'!$D55+'May 19'!$D50+'Jun 19'!$D55+'Jul 19'!$D55+'Aug 19'!$D55+'Sept 19'!$D55+'Oct 19'!$D55+'Nov 19'!$D55+'Dec 19'!$D55</f>
        <v>349.74</v>
      </c>
      <c r="E55" s="150">
        <f>'Jan 19'!$E48+'Feb 19'!$E55+'Mar 19'!$E55+'Apr 19'!$E55+'May 19'!$E50+'Jun 19'!$E55+'Jul 19'!$E55+'Aug 19'!$E55+'Sept 19'!$E55+'Oct 19'!$E55+'Nov 19'!$E55+'Dec 19'!$E55</f>
        <v>222.22</v>
      </c>
      <c r="F55" s="149">
        <f>'Jan 19'!$F48+'Feb 19'!$F55+'Mar 19'!$F55+'Apr 19'!$F55+'May 19'!$F50+'Jun 19'!$F55+'Jul 19'!$F55+'Aug 19'!$F55+'Sept 19'!$F55+'Oct 19'!$F55+'Nov 19'!$F55+'Dec 19'!$F55</f>
        <v>0</v>
      </c>
      <c r="G55" s="149">
        <f>'Jan 19'!$G48+'Feb 19'!$G55+'Mar 19'!$G55+'Apr 19'!$G55+'May 19'!$G50+'Jun 19'!$G55+'Jul 19'!$G55+'Aug 19'!$G55+'Sept 19'!$G55+'Oct 19'!$G55+'Nov 19'!$G55+'Dec 19'!$G55</f>
        <v>0</v>
      </c>
      <c r="H55" s="149">
        <f>'Jan 19'!$H48+'Feb 19'!$H55+'Mar 19'!$H55+'Apr 19'!$H55+'May 19'!$H50+'Jun 19'!$H55+'Jul 19'!$H55+'Aug 19'!$H55+'Sept 19'!$H55+'Oct 19'!$H55+'Nov 19'!$H55+'Dec 19'!$H55</f>
        <v>0</v>
      </c>
      <c r="I55" s="149">
        <f>'Jan 19'!$I48+'Feb 19'!$I55+'Mar 19'!$I55+'Apr 19'!$I55+'May 19'!$I50+'Jun 19'!$I55+'Jul 19'!$I55+'Aug 19'!$I55+'Sept 19'!$I55+'Oct 19'!$I55+'Nov 19'!$I55+'Dec 19'!$I55</f>
        <v>0</v>
      </c>
      <c r="J55" s="149">
        <f>'Jan 19'!$J48+'Feb 19'!$J55+'Mar 19'!$J55+'Apr 19'!$J55+'May 19'!$J50+'Jun 19'!$J55+'Jul 19'!$J55+'Aug 19'!$J55+'Sept 19'!$J55+'Oct 19'!$J55+'Nov 19'!$J55+'Dec 19'!$J55</f>
        <v>0</v>
      </c>
      <c r="K55" s="149">
        <f>'Jan 19'!$K48+'Feb 19'!$K55+'Mar 19'!$K55+'Apr 19'!$K55+'May 19'!$K50+'Jun 19'!$K55+'Jul 19'!$K55+'Aug 19'!$K55+'Sept 19'!$K55+'Oct 19'!$K55+'Nov 19'!$K55+'Dec 19'!$K55</f>
        <v>0</v>
      </c>
      <c r="L55" s="149">
        <f>'Jan 19'!$L48+'Feb 19'!$L55+'Mar 19'!$L55+'Apr 19'!$L55+'May 19'!$L50+'Jun 19'!$L55+'Jul 19'!$L55+'Aug 19'!$L55+'Sept 19'!$L55+'Oct 19'!$L55+'Nov 19'!$L55+'Dec 19'!$L55</f>
        <v>0</v>
      </c>
      <c r="M55" s="149">
        <f>'Jan 19'!$M48+'Feb 19'!$M55+'Mar 19'!$M55+'Apr 19'!$M55+'May 19'!$M50+'Jun 19'!$M55+'Jul 19'!$M55+'Aug 19'!$M55+'Sept 19'!$M55+'Oct 19'!$M55+'Nov 19'!$M55+'Dec 19'!$M55</f>
        <v>0</v>
      </c>
      <c r="N55" s="151">
        <f t="shared" si="0"/>
        <v>13242.199999999999</v>
      </c>
    </row>
    <row r="56" spans="1:14" ht="15.75">
      <c r="A56" s="175" t="s">
        <v>125</v>
      </c>
      <c r="B56" s="149">
        <f>'Jan 19'!$B49+'Feb 19'!$B56+'Mar 19'!$B56+'Apr 19'!$B56+'May 19'!$B51+'Jun 19'!$B56+'Jul 19'!$B56+'Aug 19'!$B56+'Sept 19'!$B56+'Oct 19'!$B56+'Nov 19'!$B56+'Dec 19'!$B56</f>
        <v>4651.29</v>
      </c>
      <c r="C56" s="149">
        <f>'Jan 19'!$C49+'Feb 19'!$C56+'Mar 19'!$C56+'Apr 19'!$C56+'May 19'!$C51+'Jun 19'!$C56+'Jul 19'!$C56+'Aug 19'!$C56+'Sept 19'!$C56+'Oct 19'!$C56+'Nov 19'!$C56+'Dec 19'!$C56</f>
        <v>9573.369999999999</v>
      </c>
      <c r="D56" s="149">
        <f>'Jan 19'!$D49+'Feb 19'!$D56+'Mar 19'!$D56+'Apr 19'!$D56+'May 19'!$D51+'Jun 19'!$D56+'Jul 19'!$D56+'Aug 19'!$D56+'Sept 19'!$D56+'Oct 19'!$D56+'Nov 19'!$D56+'Dec 19'!$D56</f>
        <v>0</v>
      </c>
      <c r="E56" s="150">
        <f>'Jan 19'!$E49+'Feb 19'!$E56+'Mar 19'!$E56+'Apr 19'!$E56+'May 19'!$E51+'Jun 19'!$E56+'Jul 19'!$E56+'Aug 19'!$E56+'Sept 19'!$E56+'Oct 19'!$E56+'Nov 19'!$E56+'Dec 19'!$E56</f>
        <v>110.18</v>
      </c>
      <c r="F56" s="149">
        <f>'Jan 19'!$F49+'Feb 19'!$F56+'Mar 19'!$F56+'Apr 19'!$F56+'May 19'!$F51+'Jun 19'!$F56+'Jul 19'!$F56+'Aug 19'!$F56+'Sept 19'!$F56+'Oct 19'!$F56+'Nov 19'!$F56+'Dec 19'!$F56</f>
        <v>0</v>
      </c>
      <c r="G56" s="149">
        <f>'Jan 19'!$G49+'Feb 19'!$G56+'Mar 19'!$G56+'Apr 19'!$G56+'May 19'!$G51+'Jun 19'!$G56+'Jul 19'!$G56+'Aug 19'!$G56+'Sept 19'!$G56+'Oct 19'!$G56+'Nov 19'!$G56+'Dec 19'!$G56</f>
        <v>0</v>
      </c>
      <c r="H56" s="149">
        <f>'Jan 19'!$H49+'Feb 19'!$H56+'Mar 19'!$H56+'Apr 19'!$H56+'May 19'!$H51+'Jun 19'!$H56+'Jul 19'!$H56+'Aug 19'!$H56+'Sept 19'!$H56+'Oct 19'!$H56+'Nov 19'!$H56+'Dec 19'!$H56</f>
        <v>0</v>
      </c>
      <c r="I56" s="149">
        <f>'Jan 19'!$I49+'Feb 19'!$I56+'Mar 19'!$I56+'Apr 19'!$I56+'May 19'!$I51+'Jun 19'!$I56+'Jul 19'!$I56+'Aug 19'!$I56+'Sept 19'!$I56+'Oct 19'!$I56+'Nov 19'!$I56+'Dec 19'!$I56</f>
        <v>0</v>
      </c>
      <c r="J56" s="149">
        <f>'Jan 19'!$J49+'Feb 19'!$J56+'Mar 19'!$J56+'Apr 19'!$J56+'May 19'!$J51+'Jun 19'!$J56+'Jul 19'!$J56+'Aug 19'!$J56+'Sept 19'!$J56+'Oct 19'!$J56+'Nov 19'!$J56+'Dec 19'!$J56</f>
        <v>0</v>
      </c>
      <c r="K56" s="149">
        <f>'Jan 19'!$K49+'Feb 19'!$K56+'Mar 19'!$K56+'Apr 19'!$K56+'May 19'!$K51+'Jun 19'!$K56+'Jul 19'!$K56+'Aug 19'!$K56+'Sept 19'!$K56+'Oct 19'!$K56+'Nov 19'!$K56+'Dec 19'!$K56</f>
        <v>0</v>
      </c>
      <c r="L56" s="149">
        <f>'Jan 19'!$L49+'Feb 19'!$L56+'Mar 19'!$L56+'Apr 19'!$L56+'May 19'!$L51+'Jun 19'!$L56+'Jul 19'!$L56+'Aug 19'!$L56+'Sept 19'!$L56+'Oct 19'!$L56+'Nov 19'!$L56+'Dec 19'!$L56</f>
        <v>0</v>
      </c>
      <c r="M56" s="149">
        <f>'Jan 19'!$M49+'Feb 19'!$M56+'Mar 19'!$M56+'Apr 19'!$M56+'May 19'!$M51+'Jun 19'!$M56+'Jul 19'!$M56+'Aug 19'!$M56+'Sept 19'!$M56+'Oct 19'!$M56+'Nov 19'!$M56+'Dec 19'!$M56</f>
        <v>0</v>
      </c>
      <c r="N56" s="151">
        <f t="shared" si="0"/>
        <v>14334.84</v>
      </c>
    </row>
    <row r="57" spans="1:14" ht="15.75">
      <c r="A57" s="175" t="s">
        <v>126</v>
      </c>
      <c r="B57" s="149">
        <f>'Jan 19'!$B50+'Feb 19'!$B57+'Mar 19'!$B57+'Apr 19'!$B57+'May 19'!$B52+'Jun 19'!$B57+'Jul 19'!$B57+'Aug 19'!$B57+'Sept 19'!$B57+'Oct 19'!$B57+'Nov 19'!$B57+'Dec 19'!$B57</f>
        <v>3364.9</v>
      </c>
      <c r="C57" s="149">
        <f>'Jan 19'!$C50+'Feb 19'!$C57+'Mar 19'!$C57+'Apr 19'!$C57+'May 19'!$C52+'Jun 19'!$C57+'Jul 19'!$C57+'Aug 19'!$C57+'Sept 19'!$C57+'Oct 19'!$C57+'Nov 19'!$C57+'Dec 19'!$C57</f>
        <v>9573.369999999999</v>
      </c>
      <c r="D57" s="149">
        <f>'Jan 19'!$D50+'Feb 19'!$D57+'Mar 19'!$D57+'Apr 19'!$D57+'May 19'!$D52+'Jun 19'!$D57+'Jul 19'!$D57+'Aug 19'!$D57+'Sept 19'!$D57+'Oct 19'!$D57+'Nov 19'!$D57+'Dec 19'!$D57</f>
        <v>0</v>
      </c>
      <c r="E57" s="150">
        <f>'Jan 19'!$E50+'Feb 19'!$E57+'Mar 19'!$E57+'Apr 19'!$E57+'May 19'!$E52+'Jun 19'!$E57+'Jul 19'!$E57+'Aug 19'!$E57+'Sept 19'!$E57+'Oct 19'!$E57+'Nov 19'!$E57+'Dec 19'!$E57</f>
        <v>64.56</v>
      </c>
      <c r="F57" s="149">
        <f>'Jan 19'!$F50+'Feb 19'!$F57+'Mar 19'!$F57+'Apr 19'!$F57+'May 19'!$F52+'Jun 19'!$F57+'Jul 19'!$F57+'Aug 19'!$F57+'Sept 19'!$F57+'Oct 19'!$F57+'Nov 19'!$F57+'Dec 19'!$F57</f>
        <v>0</v>
      </c>
      <c r="G57" s="149">
        <f>'Jan 19'!$G50+'Feb 19'!$G57+'Mar 19'!$G57+'Apr 19'!$G57+'May 19'!$G52+'Jun 19'!$G57+'Jul 19'!$G57+'Aug 19'!$G57+'Sept 19'!$G57+'Oct 19'!$G57+'Nov 19'!$G57+'Dec 19'!$G57</f>
        <v>0</v>
      </c>
      <c r="H57" s="149">
        <f>'Jan 19'!$H50+'Feb 19'!$H57+'Mar 19'!$H57+'Apr 19'!$H57+'May 19'!$H52+'Jun 19'!$H57+'Jul 19'!$H57+'Aug 19'!$H57+'Sept 19'!$H57+'Oct 19'!$H57+'Nov 19'!$H57+'Dec 19'!$H57</f>
        <v>0</v>
      </c>
      <c r="I57" s="149">
        <f>'Jan 19'!$I50+'Feb 19'!$I57+'Mar 19'!$I57+'Apr 19'!$I57+'May 19'!$I52+'Jun 19'!$I57+'Jul 19'!$I57+'Aug 19'!$I57+'Sept 19'!$I57+'Oct 19'!$I57+'Nov 19'!$I57+'Dec 19'!$I57</f>
        <v>0</v>
      </c>
      <c r="J57" s="149">
        <f>'Jan 19'!$J50+'Feb 19'!$J57+'Mar 19'!$J57+'Apr 19'!$J57+'May 19'!$J52+'Jun 19'!$J57+'Jul 19'!$J57+'Aug 19'!$J57+'Sept 19'!$J57+'Oct 19'!$J57+'Nov 19'!$J57+'Dec 19'!$J57</f>
        <v>0</v>
      </c>
      <c r="K57" s="149">
        <f>'Jan 19'!$K50+'Feb 19'!$K57+'Mar 19'!$K57+'Apr 19'!$K57+'May 19'!$K52+'Jun 19'!$K57+'Jul 19'!$K57+'Aug 19'!$K57+'Sept 19'!$K57+'Oct 19'!$K57+'Nov 19'!$K57+'Dec 19'!$K57</f>
        <v>0</v>
      </c>
      <c r="L57" s="149">
        <f>'Jan 19'!$L50+'Feb 19'!$L57+'Mar 19'!$L57+'Apr 19'!$L57+'May 19'!$L52+'Jun 19'!$L57+'Jul 19'!$L57+'Aug 19'!$L57+'Sept 19'!$L57+'Oct 19'!$L57+'Nov 19'!$L57+'Dec 19'!$L57</f>
        <v>0</v>
      </c>
      <c r="M57" s="149">
        <f>'Jan 19'!$M50+'Feb 19'!$M57+'Mar 19'!$M57+'Apr 19'!$M57+'May 19'!$M52+'Jun 19'!$M57+'Jul 19'!$M57+'Aug 19'!$M57+'Sept 19'!$M57+'Oct 19'!$M57+'Nov 19'!$M57+'Dec 19'!$M57</f>
        <v>0</v>
      </c>
      <c r="N57" s="151">
        <f t="shared" si="0"/>
        <v>13002.829999999998</v>
      </c>
    </row>
    <row r="58" spans="1:14" ht="15.75">
      <c r="A58" s="175" t="s">
        <v>127</v>
      </c>
      <c r="B58" s="149">
        <f>'Jan 19'!$B51+'Feb 19'!$B58+'Mar 19'!$B58+'Apr 19'!$B58+'May 19'!$B53+'Jun 19'!$B58+'Jul 19'!$B58+'Aug 19'!$B58+'Sept 19'!$B58+'Oct 19'!$B58+'Nov 19'!$B58+'Dec 19'!$B58</f>
        <v>3096.8700000000003</v>
      </c>
      <c r="C58" s="149">
        <f>'Jan 19'!$C51+'Feb 19'!$C58+'Mar 19'!$C58+'Apr 19'!$C58+'May 19'!$C53+'Jun 19'!$C58+'Jul 19'!$C58+'Aug 19'!$C58+'Sept 19'!$C58+'Oct 19'!$C58+'Nov 19'!$C58+'Dec 19'!$C58</f>
        <v>9573.369999999999</v>
      </c>
      <c r="D58" s="149">
        <f>'Jan 19'!$D51+'Feb 19'!$D58+'Mar 19'!$D58+'Apr 19'!$D58+'May 19'!$D53+'Jun 19'!$D58+'Jul 19'!$D58+'Aug 19'!$D58+'Sept 19'!$D58+'Oct 19'!$D58+'Nov 19'!$D58+'Dec 19'!$D58</f>
        <v>349.74</v>
      </c>
      <c r="E58" s="150">
        <f>'Jan 19'!$E51+'Feb 19'!$E58+'Mar 19'!$E58+'Apr 19'!$E58+'May 19'!$E53+'Jun 19'!$E58+'Jul 19'!$E58+'Aug 19'!$E58+'Sept 19'!$E58+'Oct 19'!$E58+'Nov 19'!$E58+'Dec 19'!$E58</f>
        <v>229.23</v>
      </c>
      <c r="F58" s="149">
        <f>'Jan 19'!$F51+'Feb 19'!$F58+'Mar 19'!$F58+'Apr 19'!$F58+'May 19'!$F53+'Jun 19'!$F58+'Jul 19'!$F58+'Aug 19'!$F58+'Sept 19'!$F58+'Oct 19'!$F58+'Nov 19'!$F58+'Dec 19'!$F58</f>
        <v>0</v>
      </c>
      <c r="G58" s="149">
        <f>'Jan 19'!$G51+'Feb 19'!$G58+'Mar 19'!$G58+'Apr 19'!$G58+'May 19'!$G53+'Jun 19'!$G58+'Jul 19'!$G58+'Aug 19'!$G58+'Sept 19'!$G58+'Oct 19'!$G58+'Nov 19'!$G58+'Dec 19'!$G58</f>
        <v>0</v>
      </c>
      <c r="H58" s="149">
        <f>'Jan 19'!$H51+'Feb 19'!$H58+'Mar 19'!$H58+'Apr 19'!$H58+'May 19'!$H53+'Jun 19'!$H58+'Jul 19'!$H58+'Aug 19'!$H58+'Sept 19'!$H58+'Oct 19'!$H58+'Nov 19'!$H58+'Dec 19'!$H58</f>
        <v>0</v>
      </c>
      <c r="I58" s="149">
        <f>'Jan 19'!$I51+'Feb 19'!$I58+'Mar 19'!$I58+'Apr 19'!$I58+'May 19'!$I53+'Jun 19'!$I58+'Jul 19'!$I58+'Aug 19'!$I58+'Sept 19'!$I58+'Oct 19'!$I58+'Nov 19'!$I58+'Dec 19'!$I58</f>
        <v>0</v>
      </c>
      <c r="J58" s="149">
        <f>'Jan 19'!$J51+'Feb 19'!$J58+'Mar 19'!$J58+'Apr 19'!$J58+'May 19'!$J53+'Jun 19'!$J58+'Jul 19'!$J58+'Aug 19'!$J58+'Sept 19'!$J58+'Oct 19'!$J58+'Nov 19'!$J58+'Dec 19'!$J58</f>
        <v>0</v>
      </c>
      <c r="K58" s="149">
        <f>'Jan 19'!$K51+'Feb 19'!$K58+'Mar 19'!$K58+'Apr 19'!$K58+'May 19'!$K53+'Jun 19'!$K58+'Jul 19'!$K58+'Aug 19'!$K58+'Sept 19'!$K58+'Oct 19'!$K58+'Nov 19'!$K58+'Dec 19'!$K58</f>
        <v>0</v>
      </c>
      <c r="L58" s="149">
        <f>'Jan 19'!$L51+'Feb 19'!$L58+'Mar 19'!$L58+'Apr 19'!$L58+'May 19'!$L53+'Jun 19'!$L58+'Jul 19'!$L58+'Aug 19'!$L58+'Sept 19'!$L58+'Oct 19'!$L58+'Nov 19'!$L58+'Dec 19'!$L58</f>
        <v>0</v>
      </c>
      <c r="M58" s="149">
        <f>'Jan 19'!$M51+'Feb 19'!$M58+'Mar 19'!$M58+'Apr 19'!$M58+'May 19'!$M53+'Jun 19'!$M58+'Jul 19'!$M58+'Aug 19'!$M58+'Sept 19'!$M58+'Oct 19'!$M58+'Nov 19'!$M58+'Dec 19'!$M58</f>
        <v>0</v>
      </c>
      <c r="N58" s="151">
        <f t="shared" si="0"/>
        <v>13249.21</v>
      </c>
    </row>
    <row r="59" spans="1:14" ht="15.75">
      <c r="A59" s="175" t="s">
        <v>128</v>
      </c>
      <c r="B59" s="149">
        <f>'Jan 19'!$B52+'Feb 19'!$B59+'Mar 19'!$B59+'Apr 19'!$B59+'May 19'!$B54+'Jun 19'!$B59+'Jul 19'!$B59+'Aug 19'!$B59+'Sept 19'!$B59+'Oct 19'!$B59+'Nov 19'!$B59+'Dec 19'!$B59</f>
        <v>3096.8700000000003</v>
      </c>
      <c r="C59" s="149">
        <f>'Jan 19'!$C52+'Feb 19'!$C59+'Mar 19'!$C59+'Apr 19'!$C59+'May 19'!$C54+'Jun 19'!$C59+'Jul 19'!$C59+'Aug 19'!$C59+'Sept 19'!$C59+'Oct 19'!$C59+'Nov 19'!$C59+'Dec 19'!$C59</f>
        <v>9573.369999999999</v>
      </c>
      <c r="D59" s="149">
        <f>'Jan 19'!$D52+'Feb 19'!$D59+'Mar 19'!$D59+'Apr 19'!$D59+'May 19'!$D54+'Jun 19'!$D59+'Jul 19'!$D59+'Aug 19'!$D59+'Sept 19'!$D59+'Oct 19'!$D59+'Nov 19'!$D59+'Dec 19'!$D59</f>
        <v>0</v>
      </c>
      <c r="E59" s="150">
        <f>'Jan 19'!$E52+'Feb 19'!$E59+'Mar 19'!$E59+'Apr 19'!$E59+'May 19'!$E54+'Jun 19'!$E59+'Jul 19'!$E59+'Aug 19'!$E59+'Sept 19'!$E59+'Oct 19'!$E59+'Nov 19'!$E59+'Dec 19'!$E59</f>
        <v>0</v>
      </c>
      <c r="F59" s="149">
        <f>'Jan 19'!$F52+'Feb 19'!$F59+'Mar 19'!$F59+'Apr 19'!$F59+'May 19'!$F54+'Jun 19'!$F59+'Jul 19'!$F59+'Aug 19'!$F59+'Sept 19'!$F59+'Oct 19'!$F59+'Nov 19'!$F59+'Dec 19'!$F59</f>
        <v>0</v>
      </c>
      <c r="G59" s="149">
        <f>'Jan 19'!$G52+'Feb 19'!$G59+'Mar 19'!$G59+'Apr 19'!$G59+'May 19'!$G54+'Jun 19'!$G59+'Jul 19'!$G59+'Aug 19'!$G59+'Sept 19'!$G59+'Oct 19'!$G59+'Nov 19'!$G59+'Dec 19'!$G59</f>
        <v>0</v>
      </c>
      <c r="H59" s="149">
        <f>'Jan 19'!$H52+'Feb 19'!$H59+'Mar 19'!$H59+'Apr 19'!$H59+'May 19'!$H54+'Jun 19'!$H59+'Jul 19'!$H59+'Aug 19'!$H59+'Sept 19'!$H59+'Oct 19'!$H59+'Nov 19'!$H59+'Dec 19'!$H59</f>
        <v>0</v>
      </c>
      <c r="I59" s="149">
        <f>'Jan 19'!$I52+'Feb 19'!$I59+'Mar 19'!$I59+'Apr 19'!$I59+'May 19'!$I54+'Jun 19'!$I59+'Jul 19'!$I59+'Aug 19'!$I59+'Sept 19'!$I59+'Oct 19'!$I59+'Nov 19'!$I59+'Dec 19'!$I59</f>
        <v>0</v>
      </c>
      <c r="J59" s="149">
        <f>'Jan 19'!$J52+'Feb 19'!$J59+'Mar 19'!$J59+'Apr 19'!$J59+'May 19'!$J54+'Jun 19'!$J59+'Jul 19'!$J59+'Aug 19'!$J59+'Sept 19'!$J59+'Oct 19'!$J59+'Nov 19'!$J59+'Dec 19'!$J59</f>
        <v>0</v>
      </c>
      <c r="K59" s="149">
        <f>'Jan 19'!$K52+'Feb 19'!$K59+'Mar 19'!$K59+'Apr 19'!$K59+'May 19'!$K54+'Jun 19'!$K59+'Jul 19'!$K59+'Aug 19'!$K59+'Sept 19'!$K59+'Oct 19'!$K59+'Nov 19'!$K59+'Dec 19'!$K59</f>
        <v>150</v>
      </c>
      <c r="L59" s="149">
        <f>'Jan 19'!$L52+'Feb 19'!$L59+'Mar 19'!$L59+'Apr 19'!$L59+'May 19'!$L54+'Jun 19'!$L59+'Jul 19'!$L59+'Aug 19'!$L59+'Sept 19'!$L59+'Oct 19'!$L59+'Nov 19'!$L59+'Dec 19'!$L59</f>
        <v>0</v>
      </c>
      <c r="M59" s="149">
        <f>'Jan 19'!$M52+'Feb 19'!$M59+'Mar 19'!$M59+'Apr 19'!$M59+'May 19'!$M54+'Jun 19'!$M59+'Jul 19'!$M59+'Aug 19'!$M59+'Sept 19'!$M59+'Oct 19'!$M59+'Nov 19'!$M59+'Dec 19'!$M59</f>
        <v>0</v>
      </c>
      <c r="N59" s="151">
        <f t="shared" si="0"/>
        <v>12820.24</v>
      </c>
    </row>
    <row r="60" spans="1:14" ht="15.75">
      <c r="A60" s="175" t="s">
        <v>129</v>
      </c>
      <c r="B60" s="149">
        <f>'Jan 19'!$B53+'Feb 19'!$B60+'Mar 19'!$B60+'Apr 19'!$B60+'May 19'!$B55+'Jun 19'!$B60+'Jul 19'!$B60+'Aug 19'!$B60+'Sept 19'!$B60+'Oct 19'!$B60+'Nov 19'!$B60+'Dec 19'!$B60</f>
        <v>3096.8700000000003</v>
      </c>
      <c r="C60" s="149">
        <f>'Jan 19'!$C53+'Feb 19'!$C60+'Mar 19'!$C60+'Apr 19'!$C60+'May 19'!$C55+'Jun 19'!$C60+'Jul 19'!$C60+'Aug 19'!$C60+'Sept 19'!$C60+'Oct 19'!$C60+'Nov 19'!$C60+'Dec 19'!$C60</f>
        <v>9573.369999999999</v>
      </c>
      <c r="D60" s="149">
        <f>'Jan 19'!$D53+'Feb 19'!$D60+'Mar 19'!$D60+'Apr 19'!$D60+'May 19'!$D55+'Jun 19'!$D60+'Jul 19'!$D60+'Aug 19'!$D60+'Sept 19'!$D60+'Oct 19'!$D60+'Nov 19'!$D60+'Dec 19'!$D60</f>
        <v>0</v>
      </c>
      <c r="E60" s="150">
        <f>'Jan 19'!$E53+'Feb 19'!$E60+'Mar 19'!$E60+'Apr 19'!$E60+'May 19'!$E55+'Jun 19'!$E60+'Jul 19'!$E60+'Aug 19'!$E60+'Sept 19'!$E60+'Oct 19'!$E60+'Nov 19'!$E60+'Dec 19'!$E60</f>
        <v>0</v>
      </c>
      <c r="F60" s="149">
        <f>'Jan 19'!$F53+'Feb 19'!$F60+'Mar 19'!$F60+'Apr 19'!$F60+'May 19'!$F55+'Jun 19'!$F60+'Jul 19'!$F60+'Aug 19'!$F60+'Sept 19'!$F60+'Oct 19'!$F60+'Nov 19'!$F60+'Dec 19'!$F60</f>
        <v>0</v>
      </c>
      <c r="G60" s="149">
        <f>'Jan 19'!$G53+'Feb 19'!$G60+'Mar 19'!$G60+'Apr 19'!$G60+'May 19'!$G55+'Jun 19'!$G60+'Jul 19'!$G60+'Aug 19'!$G60+'Sept 19'!$G60+'Oct 19'!$G60+'Nov 19'!$G60+'Dec 19'!$G60</f>
        <v>0</v>
      </c>
      <c r="H60" s="149">
        <f>'Jan 19'!$H53+'Feb 19'!$H60+'Mar 19'!$H60+'Apr 19'!$H60+'May 19'!$H55+'Jun 19'!$H60+'Jul 19'!$H60+'Aug 19'!$H60+'Sept 19'!$H60+'Oct 19'!$H60+'Nov 19'!$H60+'Dec 19'!$H60</f>
        <v>0</v>
      </c>
      <c r="I60" s="149">
        <f>'Jan 19'!$I53+'Feb 19'!$I60+'Mar 19'!$I60+'Apr 19'!$I60+'May 19'!$I55+'Jun 19'!$I60+'Jul 19'!$I60+'Aug 19'!$I60+'Sept 19'!$I60+'Oct 19'!$I60+'Nov 19'!$I60+'Dec 19'!$I60</f>
        <v>0</v>
      </c>
      <c r="J60" s="149">
        <f>'Jan 19'!$J53+'Feb 19'!$J60+'Mar 19'!$J60+'Apr 19'!$J60+'May 19'!$J55+'Jun 19'!$J60+'Jul 19'!$J60+'Aug 19'!$J60+'Sept 19'!$J60+'Oct 19'!$J60+'Nov 19'!$J60+'Dec 19'!$J60</f>
        <v>0</v>
      </c>
      <c r="K60" s="149">
        <f>'Jan 19'!$K53+'Feb 19'!$K60+'Mar 19'!$K60+'Apr 19'!$K60+'May 19'!$K55+'Jun 19'!$K60+'Jul 19'!$K60+'Aug 19'!$K60+'Sept 19'!$K60+'Oct 19'!$K60+'Nov 19'!$K60+'Dec 19'!$K60</f>
        <v>0</v>
      </c>
      <c r="L60" s="149">
        <f>'Jan 19'!$L53+'Feb 19'!$L60+'Mar 19'!$L60+'Apr 19'!$L60+'May 19'!$L55+'Jun 19'!$L60+'Jul 19'!$L60+'Aug 19'!$L60+'Sept 19'!$L60+'Oct 19'!$L60+'Nov 19'!$L60+'Dec 19'!$L60</f>
        <v>100</v>
      </c>
      <c r="M60" s="149">
        <f>'Jan 19'!$M53+'Feb 19'!$M60+'Mar 19'!$M60+'Apr 19'!$M60+'May 19'!$M55+'Jun 19'!$M60+'Jul 19'!$M60+'Aug 19'!$M60+'Sept 19'!$M60+'Oct 19'!$M60+'Nov 19'!$M60+'Dec 19'!$M60</f>
        <v>0</v>
      </c>
      <c r="N60" s="151">
        <f t="shared" si="0"/>
        <v>12770.24</v>
      </c>
    </row>
    <row r="61" spans="2:14" ht="16.5" thickBot="1">
      <c r="B61" s="152">
        <f aca="true" t="shared" si="1" ref="B61:H61">SUM(B3:B60)</f>
        <v>237075.63999999998</v>
      </c>
      <c r="C61" s="152">
        <f t="shared" si="1"/>
        <v>685041.2500000003</v>
      </c>
      <c r="D61" s="152">
        <f t="shared" si="1"/>
        <v>8417.359999999999</v>
      </c>
      <c r="E61" s="152">
        <f t="shared" si="1"/>
        <v>67106.57999999999</v>
      </c>
      <c r="F61" s="152">
        <f t="shared" si="1"/>
        <v>39152.08</v>
      </c>
      <c r="G61" s="152">
        <f t="shared" si="1"/>
        <v>29276.45</v>
      </c>
      <c r="H61" s="152">
        <f t="shared" si="1"/>
        <v>5772.5</v>
      </c>
      <c r="I61" s="152">
        <f>SUM(I21:I60)</f>
        <v>0</v>
      </c>
      <c r="J61" s="152">
        <f>SUM(J3:J60)</f>
        <v>18145.440000000002</v>
      </c>
      <c r="K61" s="152">
        <f>SUM(K3:K60)</f>
        <v>2634.17</v>
      </c>
      <c r="L61" s="152">
        <f>SUM(L3:L60)</f>
        <v>8771.53</v>
      </c>
      <c r="M61" s="152">
        <f>SUM(M3:M60)</f>
        <v>32500</v>
      </c>
      <c r="N61" s="153">
        <f>SUBTOTAL(109,N3:N60)</f>
        <v>1152452.39</v>
      </c>
    </row>
    <row r="62" ht="13.5" thickTop="1"/>
  </sheetData>
  <sheetProtection/>
  <mergeCells count="1">
    <mergeCell ref="A1:N1"/>
  </mergeCells>
  <printOptions gridLines="1"/>
  <pageMargins left="0.3937007874015748" right="0.3937007874015748" top="0.3937007874015748" bottom="0.3937007874015748" header="0.31496062992125984" footer="0.5118110236220472"/>
  <pageSetup fitToHeight="1" fitToWidth="1" horizontalDpi="600" verticalDpi="600" orientation="landscape" paperSize="8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7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M29" sqref="M29"/>
    </sheetView>
  </sheetViews>
  <sheetFormatPr defaultColWidth="18.7109375" defaultRowHeight="12.75"/>
  <cols>
    <col min="1" max="1" width="18.8515625" style="0" bestFit="1" customWidth="1"/>
    <col min="2" max="14" width="11.7109375" style="0" customWidth="1"/>
  </cols>
  <sheetData>
    <row r="1" spans="1:14" ht="18">
      <c r="A1" s="186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3.5" thickBot="1">
      <c r="A2" s="32" t="s">
        <v>0</v>
      </c>
      <c r="B2" s="33" t="s">
        <v>72</v>
      </c>
      <c r="C2" s="33" t="s">
        <v>71</v>
      </c>
      <c r="D2" s="33" t="s">
        <v>70</v>
      </c>
      <c r="E2" s="33" t="s">
        <v>69</v>
      </c>
      <c r="F2" s="33" t="s">
        <v>68</v>
      </c>
      <c r="G2" s="34" t="s">
        <v>47</v>
      </c>
      <c r="H2" s="34" t="s">
        <v>48</v>
      </c>
      <c r="I2" s="34" t="s">
        <v>49</v>
      </c>
      <c r="J2" s="34" t="s">
        <v>50</v>
      </c>
      <c r="K2" s="34" t="s">
        <v>67</v>
      </c>
      <c r="L2" s="34" t="s">
        <v>51</v>
      </c>
      <c r="M2" s="34" t="s">
        <v>52</v>
      </c>
      <c r="N2" s="34" t="s">
        <v>53</v>
      </c>
    </row>
    <row r="3" spans="1:14" ht="12.75">
      <c r="A3" s="35" t="s">
        <v>7</v>
      </c>
      <c r="B3" s="36">
        <f>'Jan 19'!$N3</f>
        <v>2938.1899999999996</v>
      </c>
      <c r="C3" s="36">
        <f>'Feb 19'!$N3</f>
        <v>4148.87</v>
      </c>
      <c r="D3" s="36">
        <f>'Mar 19'!$N3</f>
        <v>2877.3199999999997</v>
      </c>
      <c r="E3" s="36">
        <f>'Apr 19'!$N3</f>
        <v>2547.89</v>
      </c>
      <c r="F3" s="36">
        <f>'May 19'!$N3</f>
        <v>1640.69</v>
      </c>
      <c r="G3" s="36">
        <f>'Jun 19'!$N3</f>
        <v>326.95</v>
      </c>
      <c r="H3" s="36">
        <f>'Jul 19'!$N3</f>
        <v>0</v>
      </c>
      <c r="I3" s="36">
        <f>'Aug 19'!$M3</f>
        <v>0</v>
      </c>
      <c r="J3" s="36">
        <f>'Sept 19'!$M3</f>
        <v>0</v>
      </c>
      <c r="K3" s="36">
        <f>'Oct 19'!$M3</f>
        <v>0</v>
      </c>
      <c r="L3" s="36">
        <f>'Nov 19'!$M3</f>
        <v>0</v>
      </c>
      <c r="M3" s="36">
        <f>'Dec 19'!$M3</f>
        <v>0</v>
      </c>
      <c r="N3" s="37">
        <f>SUM(B3:M3)</f>
        <v>14479.91</v>
      </c>
    </row>
    <row r="4" spans="1:14" ht="12.75">
      <c r="A4" s="38" t="s">
        <v>8</v>
      </c>
      <c r="B4" s="39">
        <f>'Jan 19'!$N4</f>
        <v>3656.43</v>
      </c>
      <c r="C4" s="39">
        <f>'Feb 19'!$N4</f>
        <v>3647.3</v>
      </c>
      <c r="D4" s="39">
        <f>'Mar 19'!$N4</f>
        <v>7026.1900000000005</v>
      </c>
      <c r="E4" s="39">
        <f>'Apr 19'!$N4</f>
        <v>3685.15</v>
      </c>
      <c r="F4" s="39">
        <f>'May 19'!$N4</f>
        <v>3129.4700000000003</v>
      </c>
      <c r="G4" s="39">
        <f>'Jun 19'!$N4</f>
        <v>2702.95</v>
      </c>
      <c r="H4" s="39">
        <f>'Jul 19'!$N4</f>
        <v>1752.4299999999998</v>
      </c>
      <c r="I4" s="39">
        <f>'Aug 19'!$M4</f>
        <v>0</v>
      </c>
      <c r="J4" s="39">
        <f>'Sept 19'!$M4</f>
        <v>0</v>
      </c>
      <c r="K4" s="39">
        <f>'Oct 19'!$M4</f>
        <v>0</v>
      </c>
      <c r="L4" s="39">
        <f>'Nov 19'!$M4</f>
        <v>0</v>
      </c>
      <c r="M4" s="39">
        <f>'Dec 19'!$M4</f>
        <v>0</v>
      </c>
      <c r="N4" s="37">
        <f aca="true" t="shared" si="0" ref="N4:N46">SUM(B4:M4)</f>
        <v>25599.920000000002</v>
      </c>
    </row>
    <row r="5" spans="1:14" ht="12.75">
      <c r="A5" s="35" t="s">
        <v>9</v>
      </c>
      <c r="B5" s="36">
        <f>'Jan 19'!$N6</f>
        <v>4049.3900000000003</v>
      </c>
      <c r="C5" s="36">
        <f>'Feb 19'!$N6</f>
        <v>9565.670000000002</v>
      </c>
      <c r="D5" s="36">
        <f>'Mar 19'!$N6</f>
        <v>5853.2</v>
      </c>
      <c r="E5" s="36">
        <f>'Apr 19'!$N6</f>
        <v>4049.3900000000003</v>
      </c>
      <c r="F5" s="36">
        <f>'May 19'!$N6</f>
        <v>4049.3900000000003</v>
      </c>
      <c r="G5" s="36">
        <f>'Jun 19'!$N6</f>
        <v>3185.8999999999996</v>
      </c>
      <c r="H5" s="36">
        <f>'Jul 19'!$N6</f>
        <v>3132.31</v>
      </c>
      <c r="I5" s="36">
        <f>'Aug 19'!$M6</f>
        <v>0</v>
      </c>
      <c r="J5" s="36">
        <f>'Sept 19'!$M6</f>
        <v>0</v>
      </c>
      <c r="K5" s="36">
        <f>'Oct 19'!$M6</f>
        <v>0</v>
      </c>
      <c r="L5" s="36">
        <f>'Nov 19'!$M6</f>
        <v>0</v>
      </c>
      <c r="M5" s="36" t="e">
        <f>'Dec 19'!#REF!</f>
        <v>#REF!</v>
      </c>
      <c r="N5" s="37" t="e">
        <f t="shared" si="0"/>
        <v>#REF!</v>
      </c>
    </row>
    <row r="6" spans="1:14" ht="12.75">
      <c r="A6" s="38" t="s">
        <v>10</v>
      </c>
      <c r="B6" s="39">
        <f>'Jan 19'!$N7</f>
        <v>2865.2599999999998</v>
      </c>
      <c r="C6" s="39">
        <f>'Feb 19'!$N7</f>
        <v>12712.31</v>
      </c>
      <c r="D6" s="39">
        <f>'Mar 19'!$N7</f>
        <v>3215.46</v>
      </c>
      <c r="E6" s="39">
        <f>'Apr 19'!$N7</f>
        <v>2366.5699999999997</v>
      </c>
      <c r="F6" s="39">
        <f>'May 19'!$N7</f>
        <v>2239.2999999999997</v>
      </c>
      <c r="G6" s="39">
        <f>'Jun 19'!$N7</f>
        <v>2166.0699999999997</v>
      </c>
      <c r="H6" s="39">
        <f>'Jul 19'!$N7</f>
        <v>3971.8599999999997</v>
      </c>
      <c r="I6" s="39">
        <f>'Aug 19'!$M7</f>
        <v>0</v>
      </c>
      <c r="J6" s="39">
        <f>'Sept 19'!$M7</f>
        <v>0</v>
      </c>
      <c r="K6" s="39">
        <f>'Oct 19'!$M7</f>
        <v>0</v>
      </c>
      <c r="L6" s="39">
        <f>'Nov 19'!$M7</f>
        <v>0</v>
      </c>
      <c r="M6" s="39" t="e">
        <f>'Dec 19'!#REF!</f>
        <v>#REF!</v>
      </c>
      <c r="N6" s="37" t="e">
        <f t="shared" si="0"/>
        <v>#REF!</v>
      </c>
    </row>
    <row r="7" spans="1:14" ht="12.75">
      <c r="A7" s="35" t="s">
        <v>11</v>
      </c>
      <c r="B7" s="36">
        <f>'Jan 19'!$N8</f>
        <v>1749.59</v>
      </c>
      <c r="C7" s="36">
        <f>'Feb 19'!$N8</f>
        <v>1749.59</v>
      </c>
      <c r="D7" s="36">
        <f>'Mar 19'!$N8</f>
        <v>2368.5</v>
      </c>
      <c r="E7" s="36">
        <f>'Apr 19'!$N8</f>
        <v>1749.59</v>
      </c>
      <c r="F7" s="36">
        <f>'May 19'!$N8</f>
        <v>1749.59</v>
      </c>
      <c r="G7" s="36">
        <f>'Jun 19'!$N8</f>
        <v>1737.03</v>
      </c>
      <c r="H7" s="36">
        <f>'Jul 19'!$N8</f>
        <v>1752.4299999999998</v>
      </c>
      <c r="I7" s="36">
        <f>'Aug 19'!$M8</f>
        <v>0</v>
      </c>
      <c r="J7" s="36">
        <f>'Sept 19'!$M8</f>
        <v>0</v>
      </c>
      <c r="K7" s="36">
        <f>'Oct 19'!$M8</f>
        <v>0</v>
      </c>
      <c r="L7" s="36">
        <f>'Nov 19'!$M8</f>
        <v>0</v>
      </c>
      <c r="M7" s="36">
        <f>'Dec 19'!$M6</f>
        <v>0</v>
      </c>
      <c r="N7" s="37">
        <f t="shared" si="0"/>
        <v>12856.320000000002</v>
      </c>
    </row>
    <row r="8" spans="1:14" ht="12.75">
      <c r="A8" s="38" t="s">
        <v>12</v>
      </c>
      <c r="B8" s="39">
        <f>'Jan 19'!$N9</f>
        <v>2249.59</v>
      </c>
      <c r="C8" s="39">
        <f>'Feb 19'!$N9</f>
        <v>1903</v>
      </c>
      <c r="D8" s="39">
        <f>'Mar 19'!$N9</f>
        <v>2868.5</v>
      </c>
      <c r="E8" s="39">
        <f>'Apr 19'!$N9</f>
        <v>2249.59</v>
      </c>
      <c r="F8" s="39">
        <f>'May 19'!$N9</f>
        <v>1807.82</v>
      </c>
      <c r="G8" s="39">
        <f>'Jun 19'!$N9</f>
        <v>326.95</v>
      </c>
      <c r="H8" s="39">
        <f>'Jul 19'!$N9</f>
        <v>2293.19</v>
      </c>
      <c r="I8" s="39">
        <f>'Aug 19'!$M9</f>
        <v>0</v>
      </c>
      <c r="J8" s="39">
        <f>'Sept 19'!$M9</f>
        <v>0</v>
      </c>
      <c r="K8" s="39">
        <f>'Oct 19'!$M9</f>
        <v>0</v>
      </c>
      <c r="L8" s="39">
        <f>'Nov 19'!$M9</f>
        <v>0</v>
      </c>
      <c r="M8" s="39">
        <f>'Dec 19'!$M7</f>
        <v>0</v>
      </c>
      <c r="N8" s="37">
        <f t="shared" si="0"/>
        <v>13698.640000000001</v>
      </c>
    </row>
    <row r="9" spans="1:14" ht="12.75">
      <c r="A9" s="38" t="s">
        <v>85</v>
      </c>
      <c r="B9" s="39"/>
      <c r="C9" s="39"/>
      <c r="D9" s="39"/>
      <c r="E9" s="39">
        <f>'Apr 19'!$N10</f>
        <v>2249.59</v>
      </c>
      <c r="F9" s="39">
        <f>'May 19'!$N10</f>
        <v>2271</v>
      </c>
      <c r="G9" s="39">
        <f>'Jun 19'!$N10</f>
        <v>1737.03</v>
      </c>
      <c r="H9" s="39">
        <f>'Jul 19'!$N10</f>
        <v>1963.4099999999999</v>
      </c>
      <c r="I9" s="39">
        <f>'Aug 19'!$M10</f>
        <v>0</v>
      </c>
      <c r="J9" s="39">
        <f>'Sept 19'!$M10</f>
        <v>0</v>
      </c>
      <c r="K9" s="39">
        <f>'Oct 19'!$M10</f>
        <v>0</v>
      </c>
      <c r="L9" s="39">
        <f>'Nov 19'!$M10</f>
        <v>0</v>
      </c>
      <c r="M9" s="39">
        <f>'Dec 19'!$M8</f>
        <v>0</v>
      </c>
      <c r="N9" s="37">
        <f t="shared" si="0"/>
        <v>8221.029999999999</v>
      </c>
    </row>
    <row r="10" spans="1:14" ht="12.75">
      <c r="A10" s="35" t="s">
        <v>13</v>
      </c>
      <c r="B10" s="36">
        <f>'Jan 19'!$N10</f>
        <v>2807.72</v>
      </c>
      <c r="C10" s="36">
        <f>'Feb 19'!$N10</f>
        <v>2468.96</v>
      </c>
      <c r="D10" s="36">
        <f>'Mar 19'!$N10</f>
        <v>2819.27</v>
      </c>
      <c r="E10" s="36">
        <f>'Apr 19'!$N11</f>
        <v>2197.7599999999998</v>
      </c>
      <c r="F10" s="36">
        <f>'May 19'!$N11</f>
        <v>1852.4699999999998</v>
      </c>
      <c r="G10" s="36">
        <f>'Jun 19'!$N11</f>
        <v>2043.51</v>
      </c>
      <c r="H10" s="36">
        <f>'Jul 19'!$N10</f>
        <v>1963.4099999999999</v>
      </c>
      <c r="I10" s="36">
        <f>'Aug 19'!$M10</f>
        <v>0</v>
      </c>
      <c r="J10" s="36">
        <f>'Sept 19'!$M10</f>
        <v>0</v>
      </c>
      <c r="K10" s="36">
        <f>'Oct 19'!$M10</f>
        <v>0</v>
      </c>
      <c r="L10" s="36">
        <f>'Nov 19'!$M10</f>
        <v>0</v>
      </c>
      <c r="M10" s="36">
        <f>'Dec 19'!$M8</f>
        <v>0</v>
      </c>
      <c r="N10" s="37">
        <f t="shared" si="0"/>
        <v>16153.1</v>
      </c>
    </row>
    <row r="11" spans="1:14" ht="12.75">
      <c r="A11" s="35" t="s">
        <v>88</v>
      </c>
      <c r="B11" s="36"/>
      <c r="C11" s="36"/>
      <c r="D11" s="36"/>
      <c r="E11" s="39">
        <f>'Apr 19'!$N12</f>
        <v>2009.4899999999998</v>
      </c>
      <c r="F11" s="39">
        <f>'May 19'!$N12</f>
        <v>1809.26</v>
      </c>
      <c r="G11" s="39">
        <f>'Jun 19'!$N12</f>
        <v>2038.71</v>
      </c>
      <c r="H11" s="39">
        <f>'Jul 19'!$N12</f>
        <v>2054.1099999999997</v>
      </c>
      <c r="I11" s="39">
        <f>'Aug 19'!$M12</f>
        <v>0</v>
      </c>
      <c r="J11" s="39">
        <f>'Sept 19'!$M12</f>
        <v>0</v>
      </c>
      <c r="K11" s="39">
        <f>'Oct 19'!$M12</f>
        <v>0</v>
      </c>
      <c r="L11" s="39">
        <f>'Nov 19'!$M12</f>
        <v>0</v>
      </c>
      <c r="M11" s="39">
        <f>'Dec 19'!$M9</f>
        <v>0</v>
      </c>
      <c r="N11" s="37">
        <f t="shared" si="0"/>
        <v>7911.57</v>
      </c>
    </row>
    <row r="12" spans="1:14" ht="12.75">
      <c r="A12" s="38" t="s">
        <v>14</v>
      </c>
      <c r="B12" s="39">
        <f>'Jan 19'!$N11</f>
        <v>1852.4699999999998</v>
      </c>
      <c r="C12" s="39">
        <f>'Feb 19'!$N11</f>
        <v>2370.33</v>
      </c>
      <c r="D12" s="39">
        <f>'Mar 19'!$N11</f>
        <v>2471.38</v>
      </c>
      <c r="E12" s="39">
        <f>'Apr 19'!$N13</f>
        <v>2014.9099999999999</v>
      </c>
      <c r="F12" s="39">
        <f>'May 19'!$N13</f>
        <v>2014.9099999999999</v>
      </c>
      <c r="G12" s="39">
        <f>'Jun 19'!$N13</f>
        <v>2041.6599999999999</v>
      </c>
      <c r="H12" s="39">
        <f>'Jul 19'!$N11</f>
        <v>2357.88</v>
      </c>
      <c r="I12" s="39">
        <f>'Aug 19'!$M11</f>
        <v>0</v>
      </c>
      <c r="J12" s="39">
        <f>'Sept 19'!$M11</f>
        <v>0</v>
      </c>
      <c r="K12" s="39">
        <f>'Oct 19'!$M11</f>
        <v>0</v>
      </c>
      <c r="L12" s="39">
        <f>'Nov 19'!$M11</f>
        <v>0</v>
      </c>
      <c r="M12" s="39" t="e">
        <f>'Dec 19'!#REF!</f>
        <v>#REF!</v>
      </c>
      <c r="N12" s="37" t="e">
        <f t="shared" si="0"/>
        <v>#REF!</v>
      </c>
    </row>
    <row r="13" spans="1:14" ht="12.75">
      <c r="A13" s="35" t="s">
        <v>15</v>
      </c>
      <c r="B13" s="36">
        <f>'Jan 19'!$N12</f>
        <v>2009.4899999999998</v>
      </c>
      <c r="C13" s="36">
        <f>'Feb 19'!$N12</f>
        <v>3814.7</v>
      </c>
      <c r="D13" s="36">
        <f>'Mar 19'!$N12</f>
        <v>2628.4</v>
      </c>
      <c r="E13" s="36">
        <f>'Apr 19'!$N14</f>
        <v>1971.87</v>
      </c>
      <c r="F13" s="36">
        <f>'May 19'!$N14</f>
        <v>2062.52</v>
      </c>
      <c r="G13" s="36">
        <f>'Jun 19'!$N14</f>
        <v>326.95</v>
      </c>
      <c r="H13" s="36">
        <f>'Jul 19'!$N12</f>
        <v>2054.1099999999997</v>
      </c>
      <c r="I13" s="36">
        <f>'Aug 19'!$M12</f>
        <v>0</v>
      </c>
      <c r="J13" s="36">
        <f>'Sept 19'!$M12</f>
        <v>0</v>
      </c>
      <c r="K13" s="36">
        <f>'Oct 19'!$M12</f>
        <v>0</v>
      </c>
      <c r="L13" s="36">
        <f>'Nov 19'!$M12</f>
        <v>0</v>
      </c>
      <c r="M13" s="36">
        <f>'Dec 19'!$M9</f>
        <v>0</v>
      </c>
      <c r="N13" s="37">
        <f t="shared" si="0"/>
        <v>14868.04</v>
      </c>
    </row>
    <row r="14" spans="1:14" ht="12.75">
      <c r="A14" s="38" t="s">
        <v>16</v>
      </c>
      <c r="B14" s="39">
        <f>'Jan 19'!$N13</f>
        <v>2573.8999999999996</v>
      </c>
      <c r="C14" s="39">
        <f>'Feb 19'!$N13</f>
        <v>3462.4199999999996</v>
      </c>
      <c r="D14" s="39">
        <f>'Mar 19'!$N13</f>
        <v>5850.59</v>
      </c>
      <c r="E14" s="39">
        <f>'Apr 19'!$N15</f>
        <v>1792.8999999999999</v>
      </c>
      <c r="F14" s="39">
        <f>'May 19'!$N15</f>
        <v>1925.11</v>
      </c>
      <c r="G14" s="39">
        <f>'Jun 19'!$N15</f>
        <v>326.95</v>
      </c>
      <c r="H14" s="39">
        <f>'Jul 19'!$N13</f>
        <v>2057.06</v>
      </c>
      <c r="I14" s="39">
        <f>'Aug 19'!$M13</f>
        <v>0</v>
      </c>
      <c r="J14" s="39">
        <f>'Sept 19'!$M13</f>
        <v>0</v>
      </c>
      <c r="K14" s="39">
        <f>'Oct 19'!$M13</f>
        <v>0</v>
      </c>
      <c r="L14" s="39">
        <f>'Nov 19'!$M13</f>
        <v>0</v>
      </c>
      <c r="M14" s="39">
        <f>'Dec 19'!$M10</f>
        <v>0</v>
      </c>
      <c r="N14" s="37">
        <f t="shared" si="0"/>
        <v>17988.93</v>
      </c>
    </row>
    <row r="15" spans="1:14" ht="12.75">
      <c r="A15" s="35" t="s">
        <v>17</v>
      </c>
      <c r="B15" s="36">
        <f>'Jan 19'!$N14</f>
        <v>2763.14</v>
      </c>
      <c r="C15" s="36">
        <f>'Feb 19'!$N14</f>
        <v>1836.9499999999998</v>
      </c>
      <c r="D15" s="36">
        <f>'Mar 19'!$N14</f>
        <v>5429.58</v>
      </c>
      <c r="E15" s="36">
        <f>'Apr 19'!$N16</f>
        <v>1749.59</v>
      </c>
      <c r="F15" s="36">
        <f>'May 19'!$N16</f>
        <v>1749.59</v>
      </c>
      <c r="G15" s="36">
        <f>'Jun 19'!$N16</f>
        <v>926.95</v>
      </c>
      <c r="H15" s="36">
        <f>'Jul 19'!$N14</f>
        <v>0</v>
      </c>
      <c r="I15" s="36">
        <f>'Aug 19'!$M14</f>
        <v>0</v>
      </c>
      <c r="J15" s="36">
        <f>'Sept 19'!$M14</f>
        <v>0</v>
      </c>
      <c r="K15" s="36">
        <f>'Oct 19'!$M14</f>
        <v>0</v>
      </c>
      <c r="L15" s="36">
        <f>'Nov 19'!$M14</f>
        <v>0</v>
      </c>
      <c r="M15" s="36">
        <f>'Dec 19'!$M11</f>
        <v>0</v>
      </c>
      <c r="N15" s="37">
        <f t="shared" si="0"/>
        <v>14455.800000000001</v>
      </c>
    </row>
    <row r="16" spans="1:14" ht="12.75">
      <c r="A16" s="38" t="s">
        <v>18</v>
      </c>
      <c r="B16" s="39">
        <f>'Jan 19'!$N15</f>
        <v>1792.8999999999999</v>
      </c>
      <c r="C16" s="39">
        <f>'Feb 19'!$N15</f>
        <v>1895.84</v>
      </c>
      <c r="D16" s="39">
        <f>'Mar 19'!$N15</f>
        <v>2411.81</v>
      </c>
      <c r="E16" s="39">
        <f>'Apr 19'!$N17</f>
        <v>1984.6999999999998</v>
      </c>
      <c r="F16" s="39">
        <f>'May 19'!$N17</f>
        <v>1653.32</v>
      </c>
      <c r="G16" s="39">
        <f>'Jun 19'!$N17</f>
        <v>326.95</v>
      </c>
      <c r="H16" s="39">
        <f>'Jul 19'!$N15</f>
        <v>0</v>
      </c>
      <c r="I16" s="39">
        <f>'Aug 19'!$M15</f>
        <v>0</v>
      </c>
      <c r="J16" s="39">
        <f>'Sept 19'!$M15</f>
        <v>0</v>
      </c>
      <c r="K16" s="39">
        <f>'Oct 19'!$M15</f>
        <v>0</v>
      </c>
      <c r="L16" s="39">
        <f>'Nov 19'!$M15</f>
        <v>0</v>
      </c>
      <c r="M16" s="39">
        <f>'Dec 19'!$M12</f>
        <v>0</v>
      </c>
      <c r="N16" s="37">
        <f t="shared" si="0"/>
        <v>10065.52</v>
      </c>
    </row>
    <row r="17" spans="1:14" ht="12.75">
      <c r="A17" s="35" t="s">
        <v>19</v>
      </c>
      <c r="B17" s="36">
        <f>'Jan 19'!$N16</f>
        <v>1749.59</v>
      </c>
      <c r="C17" s="36">
        <f>'Feb 19'!$N16</f>
        <v>1749.59</v>
      </c>
      <c r="D17" s="36">
        <f>'Mar 19'!$N16</f>
        <v>2368.5</v>
      </c>
      <c r="E17" s="36">
        <f>'Apr 19'!$N18</f>
        <v>2249.59</v>
      </c>
      <c r="F17" s="36">
        <f>'May 19'!$N18</f>
        <v>2249.59</v>
      </c>
      <c r="G17" s="36">
        <f>'Jun 19'!$N18</f>
        <v>326.95</v>
      </c>
      <c r="H17" s="36">
        <f>'Jul 19'!$N16</f>
        <v>0</v>
      </c>
      <c r="I17" s="36">
        <f>'Aug 19'!$M16</f>
        <v>0</v>
      </c>
      <c r="J17" s="36">
        <f>'Sept 19'!$M16</f>
        <v>0</v>
      </c>
      <c r="K17" s="36">
        <f>'Oct 19'!$M16</f>
        <v>0</v>
      </c>
      <c r="L17" s="36">
        <f>'Nov 19'!$M16</f>
        <v>0</v>
      </c>
      <c r="M17" s="36">
        <f>'Dec 19'!$M13</f>
        <v>0</v>
      </c>
      <c r="N17" s="37">
        <f t="shared" si="0"/>
        <v>10693.810000000001</v>
      </c>
    </row>
    <row r="18" spans="1:14" ht="12.75">
      <c r="A18" s="38" t="s">
        <v>20</v>
      </c>
      <c r="B18" s="39">
        <f>'Jan 19'!$N17</f>
        <v>1749.59</v>
      </c>
      <c r="C18" s="39">
        <f>'Feb 19'!$N17</f>
        <v>1807.9199999999998</v>
      </c>
      <c r="D18" s="39">
        <f>'Mar 19'!$N17</f>
        <v>2760</v>
      </c>
      <c r="E18" s="39">
        <f>'Apr 19'!$N19</f>
        <v>1798.32</v>
      </c>
      <c r="F18" s="39">
        <f>'May 19'!$N19</f>
        <v>1798.32</v>
      </c>
      <c r="G18" s="39">
        <f>'Jun 19'!$N19</f>
        <v>1805.9499999999998</v>
      </c>
      <c r="H18" s="39">
        <f>'Jul 19'!$N17</f>
        <v>0</v>
      </c>
      <c r="I18" s="39">
        <f>'Aug 19'!$M17</f>
        <v>0</v>
      </c>
      <c r="J18" s="39">
        <f>'Sept 19'!$M17</f>
        <v>0</v>
      </c>
      <c r="K18" s="39">
        <f>'Oct 19'!$M17</f>
        <v>0</v>
      </c>
      <c r="L18" s="39">
        <f>'Nov 19'!$M17</f>
        <v>0</v>
      </c>
      <c r="M18" s="39">
        <f>'Dec 19'!$M14</f>
        <v>0</v>
      </c>
      <c r="N18" s="37">
        <f t="shared" si="0"/>
        <v>11720.099999999999</v>
      </c>
    </row>
    <row r="19" spans="1:14" ht="12.75">
      <c r="A19" s="35" t="s">
        <v>21</v>
      </c>
      <c r="B19" s="36">
        <f>'Jan 19'!$N18</f>
        <v>2434.21</v>
      </c>
      <c r="C19" s="36">
        <f>'Feb 19'!$N18</f>
        <v>2249.59</v>
      </c>
      <c r="D19" s="36">
        <f>'Mar 19'!$N18</f>
        <v>2868.5</v>
      </c>
      <c r="E19" s="36">
        <f>'Apr 19'!$N20</f>
        <v>1749.59</v>
      </c>
      <c r="F19" s="36">
        <f>'May 19'!$N20</f>
        <v>1749.59</v>
      </c>
      <c r="G19" s="36">
        <f>'Jun 19'!$N20</f>
        <v>326.95</v>
      </c>
      <c r="H19" s="36">
        <f>'Jul 19'!$N18</f>
        <v>0</v>
      </c>
      <c r="I19" s="36">
        <f>'Aug 19'!$M18</f>
        <v>0</v>
      </c>
      <c r="J19" s="36">
        <f>'Sept 19'!$M18</f>
        <v>0</v>
      </c>
      <c r="K19" s="36">
        <f>'Oct 19'!$M18</f>
        <v>0</v>
      </c>
      <c r="L19" s="36">
        <f>'Nov 19'!$M18</f>
        <v>0</v>
      </c>
      <c r="M19" s="36">
        <f>'Dec 19'!$M15</f>
        <v>0</v>
      </c>
      <c r="N19" s="37">
        <f t="shared" si="0"/>
        <v>11378.43</v>
      </c>
    </row>
    <row r="20" spans="1:14" ht="12.75">
      <c r="A20" s="38" t="s">
        <v>22</v>
      </c>
      <c r="B20" s="39">
        <f>'Jan 19'!$N19</f>
        <v>1798.32</v>
      </c>
      <c r="C20" s="39">
        <f>'Feb 19'!$N19</f>
        <v>1798.32</v>
      </c>
      <c r="D20" s="39">
        <f>'Mar 19'!$N19</f>
        <v>2417.23</v>
      </c>
      <c r="E20" s="39">
        <f>'Apr 19'!$N21</f>
        <v>1749.59</v>
      </c>
      <c r="F20" s="39">
        <f>'May 19'!$N21</f>
        <v>1749.59</v>
      </c>
      <c r="G20" s="39">
        <f>'Jun 19'!$N21</f>
        <v>2237.0299999999997</v>
      </c>
      <c r="H20" s="39">
        <f>'Jul 19'!$N19</f>
        <v>1821.35</v>
      </c>
      <c r="I20" s="39">
        <f>'Aug 19'!$M19</f>
        <v>0</v>
      </c>
      <c r="J20" s="39">
        <f>'Sept 19'!$M19</f>
        <v>0</v>
      </c>
      <c r="K20" s="39">
        <f>'Oct 19'!$M19</f>
        <v>0</v>
      </c>
      <c r="L20" s="39">
        <f>'Nov 19'!$M20</f>
        <v>0</v>
      </c>
      <c r="M20" s="39">
        <f>'Dec 19'!$M17</f>
        <v>0</v>
      </c>
      <c r="N20" s="37">
        <f t="shared" si="0"/>
        <v>13571.429999999998</v>
      </c>
    </row>
    <row r="21" spans="1:14" ht="12.75">
      <c r="A21" s="35" t="s">
        <v>23</v>
      </c>
      <c r="B21" s="36">
        <f>'Jan 19'!$N20</f>
        <v>1749.59</v>
      </c>
      <c r="C21" s="36">
        <f>'Feb 19'!$N20</f>
        <v>1749.59</v>
      </c>
      <c r="D21" s="36">
        <f>'Mar 19'!$N20</f>
        <v>2465.29</v>
      </c>
      <c r="E21" s="36">
        <f>'Apr 19'!$N22</f>
        <v>1749.59</v>
      </c>
      <c r="F21" s="36">
        <f>'May 19'!$N22</f>
        <v>2067.14</v>
      </c>
      <c r="G21" s="36">
        <f>'Jun 19'!$N22</f>
        <v>326.95</v>
      </c>
      <c r="H21" s="36">
        <f>'Jul 19'!$N20</f>
        <v>0</v>
      </c>
      <c r="I21" s="36">
        <f>'Aug 19'!$M20</f>
        <v>0</v>
      </c>
      <c r="J21" s="36">
        <f>'Sept 19'!$M20</f>
        <v>0</v>
      </c>
      <c r="K21" s="36">
        <f>'Oct 19'!$M20</f>
        <v>0</v>
      </c>
      <c r="L21" s="36">
        <f>'Nov 19'!$M21</f>
        <v>500</v>
      </c>
      <c r="M21" s="36">
        <f>'Dec 19'!$M18</f>
        <v>0</v>
      </c>
      <c r="N21" s="37">
        <f t="shared" si="0"/>
        <v>10608.15</v>
      </c>
    </row>
    <row r="22" spans="1:14" ht="12.75">
      <c r="A22" s="38" t="s">
        <v>24</v>
      </c>
      <c r="B22" s="39">
        <f>'Jan 19'!$N21</f>
        <v>2406.12</v>
      </c>
      <c r="C22" s="39">
        <f>'Feb 19'!$N21</f>
        <v>2569.69</v>
      </c>
      <c r="D22" s="39">
        <f>'Mar 19'!$N21</f>
        <v>2793.14</v>
      </c>
      <c r="E22" s="39">
        <f>'Apr 19'!$N23</f>
        <v>1988.28</v>
      </c>
      <c r="F22" s="39">
        <f>'May 19'!$N23</f>
        <v>2062.0499999999997</v>
      </c>
      <c r="G22" s="39">
        <f>'Jun 19'!$N23</f>
        <v>326.95</v>
      </c>
      <c r="H22" s="39">
        <f>'Jul 19'!$N21</f>
        <v>2479.3999999999996</v>
      </c>
      <c r="I22" s="39">
        <f>'Aug 19'!$M21</f>
        <v>500</v>
      </c>
      <c r="J22" s="39">
        <f>'Sept 19'!$M21</f>
        <v>500</v>
      </c>
      <c r="K22" s="39">
        <f>'Oct 19'!$M21</f>
        <v>500</v>
      </c>
      <c r="L22" s="39">
        <f>'Nov 19'!$M22</f>
        <v>0</v>
      </c>
      <c r="M22" s="39">
        <f>'Dec 19'!$M19</f>
        <v>0</v>
      </c>
      <c r="N22" s="37">
        <f t="shared" si="0"/>
        <v>16125.63</v>
      </c>
    </row>
    <row r="23" spans="1:14" ht="12.75">
      <c r="A23" s="35" t="s">
        <v>25</v>
      </c>
      <c r="B23" s="36">
        <f>'Jan 19'!$N22</f>
        <v>1749.59</v>
      </c>
      <c r="C23" s="36">
        <f>'Feb 19'!$N22</f>
        <v>1899.59</v>
      </c>
      <c r="D23" s="36">
        <f>'Mar 19'!$N22</f>
        <v>2403.5</v>
      </c>
      <c r="E23" s="36">
        <f>'Apr 19'!$N24</f>
        <v>1749.59</v>
      </c>
      <c r="F23" s="36">
        <f>'May 19'!$N24</f>
        <v>1749.59</v>
      </c>
      <c r="G23" s="36">
        <f>'Jun 19'!$N24</f>
        <v>326.95</v>
      </c>
      <c r="H23" s="36">
        <f>'Jul 19'!$N22</f>
        <v>0</v>
      </c>
      <c r="I23" s="36">
        <f>'Aug 19'!$M22</f>
        <v>0</v>
      </c>
      <c r="J23" s="36">
        <f>'Sept 19'!$M22</f>
        <v>0</v>
      </c>
      <c r="K23" s="36">
        <f>'Oct 19'!$M22</f>
        <v>0</v>
      </c>
      <c r="L23" s="36">
        <f>'Nov 19'!$M23</f>
        <v>0</v>
      </c>
      <c r="M23" s="36">
        <f>'Dec 19'!$M20</f>
        <v>0</v>
      </c>
      <c r="N23" s="37">
        <f t="shared" si="0"/>
        <v>9878.810000000001</v>
      </c>
    </row>
    <row r="24" spans="1:14" ht="12.75">
      <c r="A24" s="38" t="s">
        <v>26</v>
      </c>
      <c r="B24" s="39">
        <f>'Jan 19'!$N23</f>
        <v>1749.59</v>
      </c>
      <c r="C24" s="39">
        <f>'Feb 19'!$N23</f>
        <v>2167.1099999999997</v>
      </c>
      <c r="D24" s="39">
        <f>'Mar 19'!$N23</f>
        <v>2829.04</v>
      </c>
      <c r="E24" s="39">
        <f>'Apr 19'!$N25</f>
        <v>1661.78</v>
      </c>
      <c r="F24" s="39">
        <f>'May 19'!$N25</f>
        <v>1544.62</v>
      </c>
      <c r="G24" s="39">
        <f>'Jun 19'!$N25</f>
        <v>326.95</v>
      </c>
      <c r="H24" s="39">
        <f>'Jul 19'!$N23</f>
        <v>0</v>
      </c>
      <c r="I24" s="39">
        <f>'Aug 19'!$M23</f>
        <v>0</v>
      </c>
      <c r="J24" s="39">
        <f>'Sept 19'!$M23</f>
        <v>0</v>
      </c>
      <c r="K24" s="39">
        <f>'Oct 19'!$M23</f>
        <v>0</v>
      </c>
      <c r="L24" s="39">
        <f>'Nov 19'!$M24</f>
        <v>0</v>
      </c>
      <c r="M24" s="39">
        <f>'Dec 19'!$M21</f>
        <v>500</v>
      </c>
      <c r="N24" s="37">
        <f t="shared" si="0"/>
        <v>10779.09</v>
      </c>
    </row>
    <row r="25" spans="1:14" ht="12.75">
      <c r="A25" s="35" t="s">
        <v>27</v>
      </c>
      <c r="B25" s="36">
        <f>'Jan 19'!$N24</f>
        <v>1749.59</v>
      </c>
      <c r="C25" s="36">
        <f>'Feb 19'!$N24</f>
        <v>1749.59</v>
      </c>
      <c r="D25" s="36">
        <f>'Mar 19'!$N24</f>
        <v>2403.5</v>
      </c>
      <c r="E25" s="36">
        <f>'Apr 19'!$N26</f>
        <v>1830.81</v>
      </c>
      <c r="F25" s="36">
        <f>'May 19'!$N26</f>
        <v>1508.8999999999999</v>
      </c>
      <c r="G25" s="36">
        <f>'Jun 19'!$N26</f>
        <v>1851.8899999999999</v>
      </c>
      <c r="H25" s="36">
        <f>'Jul 19'!$N24</f>
        <v>0</v>
      </c>
      <c r="I25" s="36">
        <f>'Aug 19'!$M24</f>
        <v>0</v>
      </c>
      <c r="J25" s="36">
        <f>'Sept 19'!$M24</f>
        <v>0</v>
      </c>
      <c r="K25" s="36">
        <f>'Oct 19'!$M24</f>
        <v>0</v>
      </c>
      <c r="L25" s="36">
        <f>'Nov 19'!$M25</f>
        <v>0</v>
      </c>
      <c r="M25" s="36">
        <f>'Dec 19'!$M22</f>
        <v>0</v>
      </c>
      <c r="N25" s="37">
        <f t="shared" si="0"/>
        <v>11094.279999999999</v>
      </c>
    </row>
    <row r="26" spans="1:14" ht="12.75">
      <c r="A26" s="38" t="s">
        <v>28</v>
      </c>
      <c r="B26" s="39">
        <f>'Jan 19'!$N25</f>
        <v>1955.35</v>
      </c>
      <c r="C26" s="39">
        <f>'Feb 19'!$N25</f>
        <v>1307.82</v>
      </c>
      <c r="D26" s="39">
        <f>'Mar 19'!$N25</f>
        <v>1961.73</v>
      </c>
      <c r="E26" s="39">
        <f>'Apr 19'!$N27</f>
        <v>2188.55</v>
      </c>
      <c r="F26" s="39">
        <f>'May 19'!$N27</f>
        <v>1803.73</v>
      </c>
      <c r="G26" s="39">
        <f>'Jun 19'!$N27</f>
        <v>326.95</v>
      </c>
      <c r="H26" s="39">
        <f>'Jul 19'!$N25</f>
        <v>0</v>
      </c>
      <c r="I26" s="39">
        <f>'Aug 19'!$M25</f>
        <v>0</v>
      </c>
      <c r="J26" s="39">
        <f>'Sept 19'!$M25</f>
        <v>0</v>
      </c>
      <c r="K26" s="39">
        <f>'Oct 19'!$M25</f>
        <v>0</v>
      </c>
      <c r="L26" s="39">
        <f>'Nov 19'!$M26</f>
        <v>0</v>
      </c>
      <c r="M26" s="39">
        <f>'Dec 19'!$M23</f>
        <v>0</v>
      </c>
      <c r="N26" s="37">
        <f t="shared" si="0"/>
        <v>9544.130000000001</v>
      </c>
    </row>
    <row r="27" spans="1:14" ht="12.75">
      <c r="A27" s="35" t="s">
        <v>29</v>
      </c>
      <c r="B27" s="36">
        <f>'Jan 19'!$N26</f>
        <v>1830.81</v>
      </c>
      <c r="C27" s="36">
        <f>'Feb 19'!$N26</f>
        <v>1830.81</v>
      </c>
      <c r="D27" s="36">
        <f>'Mar 19'!$N26</f>
        <v>2449.7200000000003</v>
      </c>
      <c r="E27" s="36">
        <f>'Apr 19'!$N28</f>
        <v>1645.01</v>
      </c>
      <c r="F27" s="36">
        <f>'May 19'!$N28</f>
        <v>1672.57</v>
      </c>
      <c r="G27" s="36">
        <f>'Jun 19'!$N28</f>
        <v>1737.03</v>
      </c>
      <c r="H27" s="36">
        <f>'Jul 19'!$N26</f>
        <v>1874.9499999999998</v>
      </c>
      <c r="I27" s="36">
        <f>'Aug 19'!$M26</f>
        <v>0</v>
      </c>
      <c r="J27" s="36">
        <f>'Sept 19'!$M26</f>
        <v>0</v>
      </c>
      <c r="K27" s="36">
        <f>'Oct 19'!$M26</f>
        <v>0</v>
      </c>
      <c r="L27" s="36">
        <f>'Nov 19'!$M27</f>
        <v>0</v>
      </c>
      <c r="M27" s="36">
        <f>'Dec 19'!$M24</f>
        <v>0</v>
      </c>
      <c r="N27" s="37">
        <f t="shared" si="0"/>
        <v>13040.900000000001</v>
      </c>
    </row>
    <row r="28" spans="1:14" ht="12.75">
      <c r="A28" s="38" t="s">
        <v>30</v>
      </c>
      <c r="B28" s="39">
        <f>'Jan 19'!$N27</f>
        <v>1803.73</v>
      </c>
      <c r="C28" s="39">
        <f>'Feb 19'!$N27</f>
        <v>2849.7000000000003</v>
      </c>
      <c r="D28" s="39">
        <f>'Mar 19'!$N27</f>
        <v>3046.92</v>
      </c>
      <c r="E28" s="39">
        <f>'Apr 19'!$N29</f>
        <v>1346.31</v>
      </c>
      <c r="F28" s="39">
        <f>'May 19'!$N29</f>
        <v>1431.8799999999999</v>
      </c>
      <c r="G28" s="39">
        <f>'Jun 19'!$N29</f>
        <v>1737.03</v>
      </c>
      <c r="H28" s="39">
        <f>'Jul 19'!$N27</f>
        <v>0</v>
      </c>
      <c r="I28" s="39">
        <f>'Aug 19'!$M27</f>
        <v>0</v>
      </c>
      <c r="J28" s="39">
        <f>'Sept 19'!$M27</f>
        <v>0</v>
      </c>
      <c r="K28" s="39">
        <f>'Oct 19'!$M27</f>
        <v>0</v>
      </c>
      <c r="L28" s="39">
        <f>'Nov 19'!$M28</f>
        <v>0</v>
      </c>
      <c r="M28" s="39">
        <f>'Dec 19'!$M25</f>
        <v>0</v>
      </c>
      <c r="N28" s="37">
        <f t="shared" si="0"/>
        <v>12215.57</v>
      </c>
    </row>
    <row r="29" spans="1:14" ht="12.75">
      <c r="A29" s="35" t="s">
        <v>31</v>
      </c>
      <c r="B29" s="36">
        <f>'Jan 19'!$N28</f>
        <v>1749.59</v>
      </c>
      <c r="C29" s="36">
        <f>'Feb 19'!$N28</f>
        <v>1307.82</v>
      </c>
      <c r="D29" s="36">
        <f>'Mar 19'!$N28</f>
        <v>1961.73</v>
      </c>
      <c r="E29" s="36">
        <f>'Apr 19'!$N30</f>
        <v>2303.73</v>
      </c>
      <c r="F29" s="36">
        <f>'May 19'!$N30</f>
        <v>2303.73</v>
      </c>
      <c r="G29" s="36">
        <f>'Jun 19'!$N30</f>
        <v>615.4799999999999</v>
      </c>
      <c r="H29" s="36">
        <f>'Jul 19'!$N28</f>
        <v>1767.75</v>
      </c>
      <c r="I29" s="36">
        <f>'Aug 19'!$M28</f>
        <v>0</v>
      </c>
      <c r="J29" s="36">
        <f>'Sept 19'!$M28</f>
        <v>0</v>
      </c>
      <c r="K29" s="36">
        <f>'Oct 19'!$M28</f>
        <v>0</v>
      </c>
      <c r="L29" s="36">
        <f>'Nov 19'!$M29</f>
        <v>0</v>
      </c>
      <c r="M29" s="36">
        <f>'Dec 19'!$M26</f>
        <v>0</v>
      </c>
      <c r="N29" s="37">
        <f t="shared" si="0"/>
        <v>12009.829999999998</v>
      </c>
    </row>
    <row r="30" spans="1:14" ht="12.75">
      <c r="A30" s="38" t="s">
        <v>32</v>
      </c>
      <c r="B30" s="39">
        <f>'Jan 19'!$N29</f>
        <v>1749.59</v>
      </c>
      <c r="C30" s="39">
        <f>'Feb 19'!$N29</f>
        <v>1307.82</v>
      </c>
      <c r="D30" s="39">
        <f>'Mar 19'!$N29</f>
        <v>1961.73</v>
      </c>
      <c r="E30" s="39">
        <f>'Apr 19'!$N31</f>
        <v>1830.81</v>
      </c>
      <c r="F30" s="39">
        <f>'May 19'!$N31</f>
        <v>1624.79</v>
      </c>
      <c r="G30" s="39">
        <f>'Jun 19'!$N31</f>
        <v>1851.8899999999999</v>
      </c>
      <c r="H30" s="39">
        <f>'Jul 19'!$N29</f>
        <v>1752.4299999999998</v>
      </c>
      <c r="I30" s="39">
        <f>'Aug 19'!$M29</f>
        <v>0</v>
      </c>
      <c r="J30" s="39">
        <f>'Sept 19'!$M29</f>
        <v>0</v>
      </c>
      <c r="K30" s="39">
        <f>'Oct 19'!$M29</f>
        <v>0</v>
      </c>
      <c r="L30" s="39">
        <f>'Nov 19'!$M30</f>
        <v>0</v>
      </c>
      <c r="M30" s="39" t="e">
        <f>'Dec 19'!#REF!</f>
        <v>#REF!</v>
      </c>
      <c r="N30" s="37" t="e">
        <f t="shared" si="0"/>
        <v>#REF!</v>
      </c>
    </row>
    <row r="31" spans="1:14" ht="12.75">
      <c r="A31" s="35" t="s">
        <v>33</v>
      </c>
      <c r="B31" s="36">
        <f>'Jan 19'!$N30</f>
        <v>2383.77</v>
      </c>
      <c r="C31" s="36">
        <f>'Feb 19'!$N30</f>
        <v>2671.36</v>
      </c>
      <c r="D31" s="36">
        <f>'Mar 19'!$N30</f>
        <v>2922.64</v>
      </c>
      <c r="E31" s="36">
        <f>'Apr 19'!$N32</f>
        <v>2579.92</v>
      </c>
      <c r="F31" s="36">
        <f>'May 19'!$N32</f>
        <v>2249.59</v>
      </c>
      <c r="G31" s="36">
        <f>'Jun 19'!$N32</f>
        <v>2237.0299999999997</v>
      </c>
      <c r="H31" s="36">
        <f>'Jul 19'!$N30</f>
        <v>0</v>
      </c>
      <c r="I31" s="36">
        <f>'Aug 19'!$M30</f>
        <v>0</v>
      </c>
      <c r="J31" s="36">
        <f>'Sept 19'!$M30</f>
        <v>0</v>
      </c>
      <c r="K31" s="36">
        <f>'Oct 19'!$M30</f>
        <v>0</v>
      </c>
      <c r="L31" s="36">
        <f>'Nov 19'!$M31</f>
        <v>0</v>
      </c>
      <c r="M31" s="36">
        <f>'Dec 19'!$M27</f>
        <v>0</v>
      </c>
      <c r="N31" s="37">
        <f t="shared" si="0"/>
        <v>15044.310000000001</v>
      </c>
    </row>
    <row r="32" spans="1:14" ht="12.75">
      <c r="A32" s="38" t="s">
        <v>34</v>
      </c>
      <c r="B32" s="39">
        <f>'Jan 19'!$N31</f>
        <v>1830.81</v>
      </c>
      <c r="C32" s="39">
        <f>'Feb 19'!$N31</f>
        <v>1686.97</v>
      </c>
      <c r="D32" s="39">
        <f>'Mar 19'!$N31</f>
        <v>2431.91</v>
      </c>
      <c r="E32" s="39">
        <f>'Apr 19'!$N33</f>
        <v>1749.59</v>
      </c>
      <c r="F32" s="39">
        <f>'May 19'!$N33</f>
        <v>1749.59</v>
      </c>
      <c r="G32" s="39">
        <f>'Jun 19'!$N33</f>
        <v>576.95</v>
      </c>
      <c r="H32" s="39">
        <f>'Jul 19'!$N31</f>
        <v>1867.29</v>
      </c>
      <c r="I32" s="39">
        <f>'Aug 19'!$M31</f>
        <v>0</v>
      </c>
      <c r="J32" s="39">
        <f>'Sept 19'!$M31</f>
        <v>0</v>
      </c>
      <c r="K32" s="39">
        <f>'Oct 19'!$M31</f>
        <v>0</v>
      </c>
      <c r="L32" s="39">
        <f>'Nov 19'!$M32</f>
        <v>500</v>
      </c>
      <c r="M32" s="39">
        <f>'Dec 19'!$M28</f>
        <v>0</v>
      </c>
      <c r="N32" s="37">
        <f t="shared" si="0"/>
        <v>12393.11</v>
      </c>
    </row>
    <row r="33" spans="1:14" ht="12.75">
      <c r="A33" s="35" t="s">
        <v>35</v>
      </c>
      <c r="B33" s="36">
        <f>'Jan 19'!$N32</f>
        <v>2249.59</v>
      </c>
      <c r="C33" s="36">
        <f>'Feb 19'!$N32</f>
        <v>3612.06</v>
      </c>
      <c r="D33" s="36">
        <f>'Mar 19'!$N32</f>
        <v>5316.48</v>
      </c>
      <c r="E33" s="36" t="e">
        <f>'Apr 19'!#REF!</f>
        <v>#REF!</v>
      </c>
      <c r="F33" s="36" t="e">
        <f>'May 19'!#REF!</f>
        <v>#REF!</v>
      </c>
      <c r="G33" s="36" t="e">
        <f>'Jun 19'!#REF!</f>
        <v>#REF!</v>
      </c>
      <c r="H33" s="36">
        <f>'Jul 19'!$N32</f>
        <v>2252.43</v>
      </c>
      <c r="I33" s="36">
        <f>'Aug 19'!$M32</f>
        <v>500</v>
      </c>
      <c r="J33" s="36">
        <f>'Sept 19'!$M32</f>
        <v>500</v>
      </c>
      <c r="K33" s="36">
        <f>'Oct 19'!$M32</f>
        <v>500</v>
      </c>
      <c r="L33" s="36">
        <f>'Nov 19'!$M33</f>
        <v>0</v>
      </c>
      <c r="M33" s="36">
        <f>'Dec 19'!$M29</f>
        <v>0</v>
      </c>
      <c r="N33" s="37" t="e">
        <f t="shared" si="0"/>
        <v>#REF!</v>
      </c>
    </row>
    <row r="34" spans="1:14" ht="12.75">
      <c r="A34" s="38" t="s">
        <v>36</v>
      </c>
      <c r="B34" s="39">
        <f>'Jan 19'!$N33</f>
        <v>1749.59</v>
      </c>
      <c r="C34" s="39">
        <f>'Feb 19'!$N33</f>
        <v>1749.59</v>
      </c>
      <c r="D34" s="39">
        <f>'Mar 19'!$N33</f>
        <v>2368.5</v>
      </c>
      <c r="E34" s="39">
        <f>'Apr 19'!$N34</f>
        <v>2361.16</v>
      </c>
      <c r="F34" s="39">
        <f>'May 19'!$N34</f>
        <v>1953.17</v>
      </c>
      <c r="G34" s="39">
        <f>'Jun 19'!$N34</f>
        <v>2750.41</v>
      </c>
      <c r="H34" s="39" t="e">
        <f>'Jul 19'!#REF!</f>
        <v>#REF!</v>
      </c>
      <c r="I34" s="39">
        <f>'Aug 19'!$M33</f>
        <v>0</v>
      </c>
      <c r="J34" s="39">
        <f>'Sept 19'!$M33</f>
        <v>0</v>
      </c>
      <c r="K34" s="39">
        <f>'Oct 19'!$M33</f>
        <v>0</v>
      </c>
      <c r="L34" s="39" t="e">
        <f>'Nov 19'!#REF!</f>
        <v>#REF!</v>
      </c>
      <c r="M34" s="39">
        <f>'Dec 19'!$M30</f>
        <v>0</v>
      </c>
      <c r="N34" s="37" t="e">
        <f t="shared" si="0"/>
        <v>#REF!</v>
      </c>
    </row>
    <row r="35" spans="1:14" ht="12.75">
      <c r="A35" s="38" t="s">
        <v>89</v>
      </c>
      <c r="B35" s="39"/>
      <c r="C35" s="39"/>
      <c r="D35" s="39"/>
      <c r="E35" s="39">
        <f>'Apr 19'!$N35</f>
        <v>2968.1299999999997</v>
      </c>
      <c r="F35" s="39">
        <f>'May 19'!$N35</f>
        <v>2444.52</v>
      </c>
      <c r="G35" s="39">
        <f>'Jun 19'!$N35</f>
        <v>2687.2599999999998</v>
      </c>
      <c r="H35" s="39">
        <f>'Jul 19'!$N35</f>
        <v>2975.68</v>
      </c>
      <c r="I35" s="39">
        <f>'Aug 19'!$M35</f>
        <v>500</v>
      </c>
      <c r="J35" s="39">
        <f>'Sept 19'!$M35</f>
        <v>500</v>
      </c>
      <c r="K35" s="39">
        <f>'Oct 19'!$M35</f>
        <v>500</v>
      </c>
      <c r="L35" s="39">
        <f>'Nov 19'!$M36</f>
        <v>0</v>
      </c>
      <c r="M35" s="39">
        <f>'Dec 19'!$M33</f>
        <v>0</v>
      </c>
      <c r="N35" s="37">
        <f t="shared" si="0"/>
        <v>12575.59</v>
      </c>
    </row>
    <row r="36" spans="1:14" ht="12.75">
      <c r="A36" s="35" t="s">
        <v>37</v>
      </c>
      <c r="B36" s="36" t="e">
        <f>'Jan 19'!#REF!</f>
        <v>#REF!</v>
      </c>
      <c r="C36" s="36" t="e">
        <f>'Feb 19'!#REF!</f>
        <v>#REF!</v>
      </c>
      <c r="D36" s="36" t="e">
        <f>'Mar 19'!#REF!</f>
        <v>#REF!</v>
      </c>
      <c r="E36" s="36">
        <f>'Apr 19'!$N36</f>
        <v>1749.59</v>
      </c>
      <c r="F36" s="36">
        <f>'May 19'!$N36</f>
        <v>1749.59</v>
      </c>
      <c r="G36" s="36">
        <f>'Jun 19'!$N36</f>
        <v>1737.03</v>
      </c>
      <c r="H36" s="36">
        <f>'Jul 19'!$N33</f>
        <v>0</v>
      </c>
      <c r="I36" s="36" t="e">
        <f>'Aug 19'!#REF!</f>
        <v>#REF!</v>
      </c>
      <c r="J36" s="36" t="e">
        <f>'Sept 19'!#REF!</f>
        <v>#REF!</v>
      </c>
      <c r="K36" s="36" t="e">
        <f>'Oct 19'!#REF!</f>
        <v>#REF!</v>
      </c>
      <c r="L36" s="36">
        <f>'Nov 19'!$M34</f>
        <v>500</v>
      </c>
      <c r="M36" s="36">
        <f>'Dec 19'!$M31</f>
        <v>0</v>
      </c>
      <c r="N36" s="37" t="e">
        <f t="shared" si="0"/>
        <v>#REF!</v>
      </c>
    </row>
    <row r="37" spans="1:14" ht="12.75">
      <c r="A37" s="38" t="s">
        <v>38</v>
      </c>
      <c r="B37" s="39">
        <f>'Jan 19'!$N34</f>
        <v>2361.16</v>
      </c>
      <c r="C37" s="39">
        <f>'Feb 19'!$N34</f>
        <v>3245.4399999999996</v>
      </c>
      <c r="D37" s="39">
        <f>'Mar 19'!$N34</f>
        <v>3513.2400000000002</v>
      </c>
      <c r="E37" s="39">
        <f>'Apr 19'!$N37</f>
        <v>2431.5499999999997</v>
      </c>
      <c r="F37" s="39">
        <f>'May 19'!$N37</f>
        <v>2431.5499999999997</v>
      </c>
      <c r="G37" s="39">
        <f>'Jun 19'!$N37</f>
        <v>2294.02</v>
      </c>
      <c r="H37" s="39">
        <f>'Jul 19'!$N34</f>
        <v>2466.83</v>
      </c>
      <c r="I37" s="39">
        <f>'Aug 19'!$M34</f>
        <v>500</v>
      </c>
      <c r="J37" s="39">
        <f>'Sept 19'!$M34</f>
        <v>500</v>
      </c>
      <c r="K37" s="39">
        <f>'Oct 19'!$M34</f>
        <v>500</v>
      </c>
      <c r="L37" s="39">
        <f>'Nov 19'!$M35</f>
        <v>500</v>
      </c>
      <c r="M37" s="39">
        <f>'Dec 19'!$M32</f>
        <v>500</v>
      </c>
      <c r="N37" s="37">
        <f t="shared" si="0"/>
        <v>21243.79</v>
      </c>
    </row>
    <row r="38" spans="1:14" ht="12.75">
      <c r="A38" s="35" t="s">
        <v>39</v>
      </c>
      <c r="B38" s="36">
        <f>'Jan 19'!$N35</f>
        <v>3136.9700000000003</v>
      </c>
      <c r="C38" s="36">
        <f>'Feb 19'!$N35</f>
        <v>3158.1</v>
      </c>
      <c r="D38" s="36">
        <f>'Mar 19'!$N35</f>
        <v>3483.61</v>
      </c>
      <c r="E38" s="36">
        <f>'Apr 19'!$N38</f>
        <v>1819.98</v>
      </c>
      <c r="F38" s="39">
        <f>'May 19'!$N38</f>
        <v>1819.98</v>
      </c>
      <c r="G38" s="36">
        <f>'Jun 19'!$N38</f>
        <v>2043.56</v>
      </c>
      <c r="H38" s="36">
        <f>'Jul 19'!$N35</f>
        <v>2975.68</v>
      </c>
      <c r="I38" s="36">
        <f>'Aug 19'!$M35</f>
        <v>500</v>
      </c>
      <c r="J38" s="36">
        <f>'Sept 19'!$M35</f>
        <v>500</v>
      </c>
      <c r="K38" s="36">
        <f>'Oct 19'!$M35</f>
        <v>500</v>
      </c>
      <c r="L38" s="36">
        <f>'Nov 19'!$M36</f>
        <v>0</v>
      </c>
      <c r="M38" s="36">
        <f>'Dec 19'!$M33</f>
        <v>0</v>
      </c>
      <c r="N38" s="37">
        <f t="shared" si="0"/>
        <v>19937.879999999997</v>
      </c>
    </row>
    <row r="39" spans="1:14" ht="12.75">
      <c r="A39" s="38" t="s">
        <v>40</v>
      </c>
      <c r="B39" s="39">
        <f>'Jan 19'!$N36</f>
        <v>1884.96</v>
      </c>
      <c r="C39" s="39">
        <f>'Feb 19'!$N36</f>
        <v>1749.59</v>
      </c>
      <c r="D39" s="39">
        <f>'Mar 19'!$N36</f>
        <v>2368.5</v>
      </c>
      <c r="E39" s="39">
        <f>'Apr 19'!$N39</f>
        <v>1979.33</v>
      </c>
      <c r="F39" s="39">
        <f>'May 19'!$N39</f>
        <v>1749.59</v>
      </c>
      <c r="G39" s="39">
        <f>'Jun 19'!$N39</f>
        <v>3086.15</v>
      </c>
      <c r="H39" s="39">
        <f>'Jul 19'!$N36</f>
        <v>1752.4299999999998</v>
      </c>
      <c r="I39" s="39">
        <f>'Aug 19'!$M36</f>
        <v>0</v>
      </c>
      <c r="J39" s="39">
        <f>'Sept 19'!$M36</f>
        <v>0</v>
      </c>
      <c r="K39" s="39">
        <f>'Oct 19'!$M36</f>
        <v>0</v>
      </c>
      <c r="L39" s="39">
        <f>'Nov 19'!$M37</f>
        <v>0</v>
      </c>
      <c r="M39" s="39" t="e">
        <f>'Dec 19'!#REF!</f>
        <v>#REF!</v>
      </c>
      <c r="N39" s="37" t="e">
        <f t="shared" si="0"/>
        <v>#REF!</v>
      </c>
    </row>
    <row r="40" spans="1:14" ht="12.75">
      <c r="A40" s="35" t="s">
        <v>41</v>
      </c>
      <c r="B40" s="36">
        <f>'Jan 19'!$N37</f>
        <v>5554.07</v>
      </c>
      <c r="C40" s="36">
        <f>'Feb 19'!$N37</f>
        <v>2905.97</v>
      </c>
      <c r="D40" s="36">
        <f>'Mar 19'!$N37</f>
        <v>3280.44</v>
      </c>
      <c r="E40" s="36">
        <f>'Apr 19'!$N40</f>
        <v>1928.27</v>
      </c>
      <c r="F40" s="39">
        <f>'May 19'!$N40</f>
        <v>1508.8999999999999</v>
      </c>
      <c r="G40" s="36">
        <f>'Jun 19'!$N40</f>
        <v>408.95</v>
      </c>
      <c r="H40" s="36">
        <f>'Jul 19'!$N37</f>
        <v>2033.44</v>
      </c>
      <c r="I40" s="36">
        <f>'Aug 19'!$M37</f>
        <v>0</v>
      </c>
      <c r="J40" s="36">
        <f>'Sept 19'!$M37</f>
        <v>0</v>
      </c>
      <c r="K40" s="36">
        <f>'Oct 19'!$M37</f>
        <v>0</v>
      </c>
      <c r="L40" s="36">
        <f>'Nov 19'!$M38</f>
        <v>0</v>
      </c>
      <c r="M40" s="36" t="e">
        <f>'Dec 19'!#REF!</f>
        <v>#REF!</v>
      </c>
      <c r="N40" s="37" t="e">
        <f t="shared" si="0"/>
        <v>#REF!</v>
      </c>
    </row>
    <row r="41" spans="1:14" ht="12.75">
      <c r="A41" s="38" t="s">
        <v>42</v>
      </c>
      <c r="B41" s="39">
        <f>'Jan 19'!$N38</f>
        <v>1819.98</v>
      </c>
      <c r="C41" s="39">
        <f>'Feb 19'!$N38</f>
        <v>1670.6599999999999</v>
      </c>
      <c r="D41" s="39">
        <f>'Mar 19'!$N38</f>
        <v>2473.89</v>
      </c>
      <c r="E41" s="39">
        <f>'Apr 19'!$N41</f>
        <v>2291.24</v>
      </c>
      <c r="F41" s="39">
        <f>'May 19'!$N41</f>
        <v>1755</v>
      </c>
      <c r="G41" s="39">
        <f>'Jun 19'!$N41</f>
        <v>1744.69</v>
      </c>
      <c r="H41" s="39">
        <f>'Jul 19'!$N38</f>
        <v>2311.93</v>
      </c>
      <c r="I41" s="39">
        <f>'Aug 19'!$M38</f>
        <v>0</v>
      </c>
      <c r="J41" s="39">
        <f>'Sept 19'!$M38</f>
        <v>0</v>
      </c>
      <c r="K41" s="39">
        <f>'Oct 19'!$M38</f>
        <v>0</v>
      </c>
      <c r="L41" s="39">
        <f>'Nov 19'!$M39</f>
        <v>0</v>
      </c>
      <c r="M41" s="39">
        <f>'Dec 19'!$M34</f>
        <v>500</v>
      </c>
      <c r="N41" s="37">
        <f t="shared" si="0"/>
        <v>14567.390000000001</v>
      </c>
    </row>
    <row r="42" spans="1:14" ht="12.75">
      <c r="A42" s="35" t="s">
        <v>43</v>
      </c>
      <c r="B42" s="36">
        <f>'Jan 19'!$N39</f>
        <v>1749.59</v>
      </c>
      <c r="C42" s="36">
        <f>'Feb 19'!$N39</f>
        <v>3620.17</v>
      </c>
      <c r="D42" s="36">
        <f>'Mar 19'!$N39</f>
        <v>2368.5</v>
      </c>
      <c r="E42" s="36">
        <f>'Apr 19'!$N42</f>
        <v>2501.94</v>
      </c>
      <c r="F42" s="39">
        <f>'May 19'!$N42</f>
        <v>2501.94</v>
      </c>
      <c r="G42" s="36">
        <f>'Jun 19'!$N42</f>
        <v>2562.38</v>
      </c>
      <c r="H42" s="36">
        <f>'Jul 19'!$N39</f>
        <v>5970.64</v>
      </c>
      <c r="I42" s="36">
        <f>'Aug 19'!$M39</f>
        <v>0</v>
      </c>
      <c r="J42" s="36">
        <f>'Sept 19'!$M39</f>
        <v>0</v>
      </c>
      <c r="K42" s="36">
        <f>'Oct 19'!$M39</f>
        <v>0</v>
      </c>
      <c r="L42" s="36">
        <f>'Nov 19'!$M40</f>
        <v>0</v>
      </c>
      <c r="M42" s="36">
        <f>'Dec 19'!$M35</f>
        <v>500</v>
      </c>
      <c r="N42" s="37">
        <f t="shared" si="0"/>
        <v>21775.16</v>
      </c>
    </row>
    <row r="43" spans="1:14" ht="12.75">
      <c r="A43" s="38" t="s">
        <v>44</v>
      </c>
      <c r="B43" s="39">
        <f>'Jan 19'!$N40</f>
        <v>1928.27</v>
      </c>
      <c r="C43" s="39">
        <f>'Feb 19'!$N40</f>
        <v>1525.6799999999998</v>
      </c>
      <c r="D43" s="39">
        <f>'Mar 19'!$N40</f>
        <v>2547.1800000000003</v>
      </c>
      <c r="E43" s="39" t="e">
        <f>'Apr 19'!#REF!</f>
        <v>#REF!</v>
      </c>
      <c r="F43" s="39" t="e">
        <f>'May 19'!#REF!</f>
        <v>#REF!</v>
      </c>
      <c r="G43" s="39" t="e">
        <f>'Jun 19'!#REF!</f>
        <v>#REF!</v>
      </c>
      <c r="H43" s="39">
        <f>'Jul 19'!$N40</f>
        <v>0</v>
      </c>
      <c r="I43" s="39">
        <f>'Aug 19'!$M40</f>
        <v>0</v>
      </c>
      <c r="J43" s="39">
        <f>'Sept 19'!$M40</f>
        <v>0</v>
      </c>
      <c r="K43" s="39">
        <f>'Oct 19'!$M40</f>
        <v>0</v>
      </c>
      <c r="L43" s="39">
        <f>'Nov 19'!$M41</f>
        <v>0</v>
      </c>
      <c r="M43" s="39">
        <f>'Dec 19'!$M36</f>
        <v>0</v>
      </c>
      <c r="N43" s="37" t="e">
        <f t="shared" si="0"/>
        <v>#REF!</v>
      </c>
    </row>
    <row r="44" spans="1:14" ht="12.75">
      <c r="A44" s="35" t="s">
        <v>45</v>
      </c>
      <c r="B44" s="36">
        <f>'Jan 19'!$N41</f>
        <v>1755</v>
      </c>
      <c r="C44" s="36">
        <f>'Feb 19'!$N41</f>
        <v>1755</v>
      </c>
      <c r="D44" s="36">
        <f>'Mar 19'!$N41</f>
        <v>2373.91</v>
      </c>
      <c r="E44" s="36" t="e">
        <f>'Apr 19'!#REF!</f>
        <v>#REF!</v>
      </c>
      <c r="F44" s="39" t="e">
        <f>'May 19'!#REF!</f>
        <v>#REF!</v>
      </c>
      <c r="G44" s="36" t="e">
        <f>'Jun 19'!#REF!</f>
        <v>#REF!</v>
      </c>
      <c r="H44" s="36">
        <f>'Jul 19'!$N41</f>
        <v>2868.6600000000003</v>
      </c>
      <c r="I44" s="36">
        <f>'Aug 19'!$M41</f>
        <v>0</v>
      </c>
      <c r="J44" s="36">
        <f>'Sept 19'!$M41</f>
        <v>0</v>
      </c>
      <c r="K44" s="36">
        <f>'Oct 19'!$M41</f>
        <v>0</v>
      </c>
      <c r="L44" s="36" t="e">
        <f>'Nov 19'!#REF!</f>
        <v>#REF!</v>
      </c>
      <c r="M44" s="36">
        <f>'Dec 19'!$M37</f>
        <v>0</v>
      </c>
      <c r="N44" s="37" t="e">
        <f t="shared" si="0"/>
        <v>#REF!</v>
      </c>
    </row>
    <row r="45" spans="1:14" ht="12.75">
      <c r="A45" s="38" t="s">
        <v>46</v>
      </c>
      <c r="B45" s="39">
        <f>'Jan 19'!$N42</f>
        <v>2501.94</v>
      </c>
      <c r="C45" s="39">
        <f>'Feb 19'!$N42</f>
        <v>1926.22</v>
      </c>
      <c r="D45" s="39">
        <f>'Mar 19'!$N42</f>
        <v>3350.83</v>
      </c>
      <c r="E45" s="39" t="e">
        <f>'Apr 19'!#REF!</f>
        <v>#REF!</v>
      </c>
      <c r="F45" s="39" t="e">
        <f>'May 19'!#REF!</f>
        <v>#REF!</v>
      </c>
      <c r="G45" s="39" t="e">
        <f>'Jun 19'!#REF!</f>
        <v>#REF!</v>
      </c>
      <c r="H45" s="39">
        <f>'Jul 19'!$N42</f>
        <v>2531.7799999999997</v>
      </c>
      <c r="I45" s="39">
        <f>'Aug 19'!$M42</f>
        <v>0</v>
      </c>
      <c r="J45" s="39">
        <f>'Sept 19'!$M42</f>
        <v>0</v>
      </c>
      <c r="K45" s="39">
        <f>'Oct 19'!$M42</f>
        <v>0</v>
      </c>
      <c r="L45" s="39" t="e">
        <f>'Nov 19'!#REF!</f>
        <v>#REF!</v>
      </c>
      <c r="M45" s="39">
        <f>'Dec 19'!$M38</f>
        <v>0</v>
      </c>
      <c r="N45" s="37" t="e">
        <f t="shared" si="0"/>
        <v>#REF!</v>
      </c>
    </row>
    <row r="46" spans="1:14" ht="12.75">
      <c r="A46" s="35" t="s">
        <v>92</v>
      </c>
      <c r="B46" s="39" t="e">
        <f>'Jan 19'!#REF!</f>
        <v>#REF!</v>
      </c>
      <c r="C46" s="39">
        <f>'Feb 19'!$N46</f>
        <v>0</v>
      </c>
      <c r="D46" s="39">
        <f>'Mar 19'!$N46</f>
        <v>0</v>
      </c>
      <c r="E46" s="39">
        <v>0</v>
      </c>
      <c r="F46" s="39" t="e">
        <f>'May 19'!#REF!</f>
        <v>#REF!</v>
      </c>
      <c r="G46" s="39" t="e">
        <f>'Jun 19'!#REF!</f>
        <v>#REF!</v>
      </c>
      <c r="H46" s="39" t="e">
        <f>'Jul 19'!#REF!</f>
        <v>#REF!</v>
      </c>
      <c r="I46" s="39" t="e">
        <f>'Aug 19'!#REF!</f>
        <v>#REF!</v>
      </c>
      <c r="J46" s="39" t="e">
        <f>'Sept 19'!#REF!</f>
        <v>#REF!</v>
      </c>
      <c r="K46" s="39" t="e">
        <f>'Oct 19'!#REF!</f>
        <v>#REF!</v>
      </c>
      <c r="L46" s="39" t="e">
        <f>'Jan 19'!#REF!</f>
        <v>#REF!</v>
      </c>
      <c r="M46" s="39" t="e">
        <f>'Jan 19'!#REF!</f>
        <v>#REF!</v>
      </c>
      <c r="N46" s="37" t="e">
        <f t="shared" si="0"/>
        <v>#REF!</v>
      </c>
    </row>
    <row r="47" spans="1:14" ht="12.75">
      <c r="A47" s="41" t="s">
        <v>58</v>
      </c>
      <c r="B47" s="40" t="e">
        <f aca="true" t="shared" si="1" ref="B47:G47">SUM(B3:B46)</f>
        <v>#REF!</v>
      </c>
      <c r="C47" s="40" t="e">
        <f t="shared" si="1"/>
        <v>#REF!</v>
      </c>
      <c r="D47" s="40" t="e">
        <f t="shared" si="1"/>
        <v>#REF!</v>
      </c>
      <c r="E47" s="40" t="e">
        <f t="shared" si="1"/>
        <v>#REF!</v>
      </c>
      <c r="F47" s="40" t="e">
        <f t="shared" si="1"/>
        <v>#REF!</v>
      </c>
      <c r="G47" s="40" t="e">
        <f t="shared" si="1"/>
        <v>#REF!</v>
      </c>
      <c r="H47" s="40" t="e">
        <f aca="true" t="shared" si="2" ref="H47:M47">SUM(H3:H46)</f>
        <v>#REF!</v>
      </c>
      <c r="I47" s="40" t="e">
        <f t="shared" si="2"/>
        <v>#REF!</v>
      </c>
      <c r="J47" s="40" t="e">
        <f t="shared" si="2"/>
        <v>#REF!</v>
      </c>
      <c r="K47" s="40" t="e">
        <f t="shared" si="2"/>
        <v>#REF!</v>
      </c>
      <c r="L47" s="40" t="e">
        <f t="shared" si="2"/>
        <v>#REF!</v>
      </c>
      <c r="M47" s="42" t="e">
        <f t="shared" si="2"/>
        <v>#REF!</v>
      </c>
      <c r="N47" s="43" t="e">
        <f>SUM(N3:N45)</f>
        <v>#REF!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8515625" style="0" customWidth="1"/>
    <col min="2" max="2" width="33.57421875" style="0" customWidth="1"/>
    <col min="3" max="3" width="15.421875" style="0" bestFit="1" customWidth="1"/>
    <col min="4" max="4" width="24.8515625" style="5" bestFit="1" customWidth="1"/>
    <col min="5" max="5" width="20.28125" style="0" bestFit="1" customWidth="1"/>
  </cols>
  <sheetData>
    <row r="1" spans="1:4" ht="18">
      <c r="A1" s="186" t="s">
        <v>62</v>
      </c>
      <c r="B1" s="186"/>
      <c r="C1" s="186"/>
      <c r="D1" s="186"/>
    </row>
    <row r="2" spans="1:6" s="2" customFormat="1" ht="24.75" customHeight="1" thickBot="1">
      <c r="A2" s="44" t="s">
        <v>0</v>
      </c>
      <c r="B2" s="45" t="s">
        <v>60</v>
      </c>
      <c r="C2" s="45" t="s">
        <v>63</v>
      </c>
      <c r="D2" s="46" t="s">
        <v>64</v>
      </c>
      <c r="E2" s="45" t="s">
        <v>65</v>
      </c>
      <c r="F2" s="45" t="s">
        <v>66</v>
      </c>
    </row>
    <row r="3" spans="1:6" ht="12.75">
      <c r="A3" s="29"/>
      <c r="B3" s="31"/>
      <c r="C3" s="47"/>
      <c r="D3" s="48"/>
      <c r="E3" s="48"/>
      <c r="F3" s="49"/>
    </row>
    <row r="4" spans="1:6" ht="12.75">
      <c r="A4" s="30"/>
      <c r="B4" s="50"/>
      <c r="C4" s="51"/>
      <c r="D4" s="52"/>
      <c r="E4" s="52"/>
      <c r="F4" s="53"/>
    </row>
    <row r="5" spans="1:6" ht="12.75">
      <c r="A5" s="29"/>
      <c r="B5" s="31"/>
      <c r="C5" s="47"/>
      <c r="D5" s="48"/>
      <c r="E5" s="48"/>
      <c r="F5" s="49"/>
    </row>
    <row r="6" spans="1:6" ht="12.75">
      <c r="A6" s="30"/>
      <c r="B6" s="50"/>
      <c r="C6" s="54"/>
      <c r="D6" s="52"/>
      <c r="E6" s="52"/>
      <c r="F6" s="52"/>
    </row>
    <row r="7" spans="1:6" ht="12.75">
      <c r="A7" s="29"/>
      <c r="B7" s="31"/>
      <c r="C7" s="55"/>
      <c r="D7" s="48"/>
      <c r="E7" s="48"/>
      <c r="F7" s="48"/>
    </row>
    <row r="8" spans="1:6" ht="12.75">
      <c r="A8" s="30"/>
      <c r="B8" s="50"/>
      <c r="C8" s="51"/>
      <c r="D8" s="52"/>
      <c r="E8" s="52"/>
      <c r="F8" s="52"/>
    </row>
    <row r="9" spans="1:6" ht="12.75">
      <c r="A9" s="29"/>
      <c r="B9" s="31"/>
      <c r="C9" s="47"/>
      <c r="D9" s="48"/>
      <c r="E9" s="48"/>
      <c r="F9" s="48"/>
    </row>
    <row r="10" spans="1:6" ht="12.75">
      <c r="A10" s="30"/>
      <c r="B10" s="50"/>
      <c r="C10" s="54"/>
      <c r="D10" s="52"/>
      <c r="E10" s="52"/>
      <c r="F10" s="52"/>
    </row>
    <row r="11" spans="1:6" ht="12.75">
      <c r="A11" s="29"/>
      <c r="B11" s="31"/>
      <c r="C11" s="56"/>
      <c r="D11" s="48"/>
      <c r="E11" s="48"/>
      <c r="F11" s="48"/>
    </row>
    <row r="12" spans="1:6" ht="12.75">
      <c r="A12" s="30"/>
      <c r="B12" s="50"/>
      <c r="C12" s="57"/>
      <c r="D12" s="52"/>
      <c r="E12" s="52"/>
      <c r="F12" s="52"/>
    </row>
    <row r="13" spans="1:6" ht="12.75">
      <c r="A13" s="29"/>
      <c r="B13" s="31"/>
      <c r="C13" s="56"/>
      <c r="D13" s="48"/>
      <c r="E13" s="48"/>
      <c r="F13" s="48"/>
    </row>
    <row r="14" spans="1:6" ht="12.75">
      <c r="A14" s="30"/>
      <c r="B14" s="50"/>
      <c r="C14" s="57"/>
      <c r="D14" s="52"/>
      <c r="E14" s="52"/>
      <c r="F14" s="52"/>
    </row>
    <row r="15" spans="1:6" ht="12.75">
      <c r="A15" s="29"/>
      <c r="B15" s="31"/>
      <c r="C15" s="56"/>
      <c r="D15" s="48"/>
      <c r="E15" s="48"/>
      <c r="F15" s="48"/>
    </row>
    <row r="16" spans="1:6" ht="12.75">
      <c r="A16" s="30"/>
      <c r="B16" s="50"/>
      <c r="C16" s="57"/>
      <c r="D16" s="52"/>
      <c r="E16" s="52"/>
      <c r="F16" s="52"/>
    </row>
    <row r="17" spans="1:6" ht="12.75">
      <c r="A17" s="29"/>
      <c r="B17" s="31"/>
      <c r="C17" s="56"/>
      <c r="D17" s="48"/>
      <c r="E17" s="48"/>
      <c r="F17" s="58"/>
    </row>
    <row r="18" spans="1:6" ht="12.75">
      <c r="A18" s="30"/>
      <c r="B18" s="50"/>
      <c r="C18" s="57"/>
      <c r="D18" s="52"/>
      <c r="E18" s="52"/>
      <c r="F18" s="52"/>
    </row>
    <row r="19" spans="1:6" ht="12.75">
      <c r="A19" s="29"/>
      <c r="B19" s="31"/>
      <c r="C19" s="56"/>
      <c r="D19" s="31"/>
      <c r="E19" s="48"/>
      <c r="F19" s="48"/>
    </row>
    <row r="20" spans="1:6" ht="12.75">
      <c r="A20" s="30"/>
      <c r="B20" s="50"/>
      <c r="C20" s="57"/>
      <c r="D20" s="50"/>
      <c r="E20" s="52"/>
      <c r="F20" s="52"/>
    </row>
    <row r="21" spans="1:7" ht="12.75">
      <c r="A21" s="29"/>
      <c r="B21" s="59"/>
      <c r="C21" s="60"/>
      <c r="D21" s="49"/>
      <c r="E21" s="61"/>
      <c r="F21" s="62"/>
      <c r="G21" s="9"/>
    </row>
    <row r="22" spans="1:7" ht="12.75">
      <c r="A22" s="30"/>
      <c r="B22" s="50"/>
      <c r="C22" s="57"/>
      <c r="D22" s="53"/>
      <c r="E22" s="52"/>
      <c r="F22" s="63"/>
      <c r="G22" s="8"/>
    </row>
    <row r="23" spans="1:7" ht="12.75">
      <c r="A23" s="29"/>
      <c r="B23" s="31"/>
      <c r="C23" s="56"/>
      <c r="D23" s="49"/>
      <c r="E23" s="48"/>
      <c r="F23" s="64"/>
      <c r="G23" s="8"/>
    </row>
    <row r="24" spans="1:7" ht="12.75">
      <c r="A24" s="30"/>
      <c r="B24" s="50"/>
      <c r="C24" s="57"/>
      <c r="D24" s="53"/>
      <c r="E24" s="52"/>
      <c r="F24" s="63"/>
      <c r="G24" s="8"/>
    </row>
    <row r="25" spans="1:7" ht="12.75">
      <c r="A25" s="29"/>
      <c r="B25" s="31"/>
      <c r="C25" s="56"/>
      <c r="D25" s="49"/>
      <c r="E25" s="48"/>
      <c r="F25" s="64"/>
      <c r="G25" s="8"/>
    </row>
    <row r="26" spans="1:6" ht="12.75">
      <c r="A26" s="30"/>
      <c r="B26" s="50"/>
      <c r="C26" s="57"/>
      <c r="D26" s="52"/>
      <c r="E26" s="52"/>
      <c r="F26" s="52"/>
    </row>
    <row r="27" spans="1:6" ht="12.75">
      <c r="A27" s="29"/>
      <c r="B27" s="31"/>
      <c r="C27" s="56"/>
      <c r="D27" s="48"/>
      <c r="E27" s="48"/>
      <c r="F27" s="48"/>
    </row>
    <row r="28" spans="1:6" ht="12.75">
      <c r="A28" s="30"/>
      <c r="B28" s="50"/>
      <c r="C28" s="57"/>
      <c r="D28" s="52"/>
      <c r="E28" s="52"/>
      <c r="F28" s="52"/>
    </row>
    <row r="29" spans="1:6" ht="12.75">
      <c r="A29" s="29"/>
      <c r="B29" s="31"/>
      <c r="C29" s="56"/>
      <c r="D29" s="48"/>
      <c r="E29" s="48"/>
      <c r="F29" s="48"/>
    </row>
    <row r="30" spans="1:6" ht="12.75">
      <c r="A30" s="30"/>
      <c r="B30" s="50"/>
      <c r="C30" s="57"/>
      <c r="D30" s="52"/>
      <c r="E30" s="52"/>
      <c r="F30" s="52"/>
    </row>
    <row r="31" spans="1:6" ht="12.75">
      <c r="A31" s="29"/>
      <c r="B31" s="31"/>
      <c r="C31" s="56"/>
      <c r="D31" s="48"/>
      <c r="E31" s="48"/>
      <c r="F31" s="48"/>
    </row>
    <row r="32" spans="1:6" ht="12.75">
      <c r="A32" s="30"/>
      <c r="B32" s="50"/>
      <c r="C32" s="57"/>
      <c r="D32" s="52"/>
      <c r="E32" s="52"/>
      <c r="F32" s="52"/>
    </row>
    <row r="33" spans="1:6" ht="12.75">
      <c r="A33" s="29"/>
      <c r="B33" s="31"/>
      <c r="C33" s="56"/>
      <c r="D33" s="48"/>
      <c r="E33" s="48"/>
      <c r="F33" s="48"/>
    </row>
    <row r="34" spans="1:6" ht="12.75">
      <c r="A34" s="30"/>
      <c r="B34" s="50"/>
      <c r="C34" s="57"/>
      <c r="D34" s="52"/>
      <c r="E34" s="52"/>
      <c r="F34" s="52"/>
    </row>
    <row r="35" spans="1:6" ht="12.75">
      <c r="A35" s="29"/>
      <c r="B35" s="31"/>
      <c r="C35" s="56"/>
      <c r="D35" s="48"/>
      <c r="E35" s="48"/>
      <c r="F35" s="48"/>
    </row>
    <row r="36" spans="1:6" ht="12.75">
      <c r="A36" s="30"/>
      <c r="B36" s="50"/>
      <c r="C36" s="57"/>
      <c r="D36" s="52"/>
      <c r="E36" s="52"/>
      <c r="F36" s="52"/>
    </row>
    <row r="37" spans="1:6" ht="12.75">
      <c r="A37" s="29"/>
      <c r="B37" s="31"/>
      <c r="C37" s="31"/>
      <c r="D37" s="48"/>
      <c r="E37" s="48"/>
      <c r="F37" s="48"/>
    </row>
    <row r="38" spans="1:6" ht="12.75">
      <c r="A38" s="30"/>
      <c r="B38" s="50"/>
      <c r="C38" s="50"/>
      <c r="D38" s="52"/>
      <c r="E38" s="52"/>
      <c r="F38" s="52"/>
    </row>
    <row r="39" spans="1:6" ht="12.75">
      <c r="A39" s="29"/>
      <c r="B39" s="31"/>
      <c r="C39" s="31"/>
      <c r="D39" s="48"/>
      <c r="E39" s="48"/>
      <c r="F39" s="48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A1" sqref="A1:O43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10.14062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  <col min="15" max="15" width="19.8515625" style="0" customWidth="1"/>
  </cols>
  <sheetData>
    <row r="1" spans="1:14" ht="18">
      <c r="A1" s="186" t="s">
        <v>103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73</v>
      </c>
      <c r="P2" s="1"/>
      <c r="Q2" s="1"/>
    </row>
    <row r="3" spans="1:15" ht="12.75">
      <c r="A3" s="22" t="s">
        <v>7</v>
      </c>
      <c r="B3" s="122">
        <f>500.59+1383.99</f>
        <v>1884.58</v>
      </c>
      <c r="C3" s="13">
        <v>1307.82</v>
      </c>
      <c r="D3" s="13"/>
      <c r="E3" s="161">
        <f>438.98+395.5</f>
        <v>834.48</v>
      </c>
      <c r="F3" s="13"/>
      <c r="G3" s="13"/>
      <c r="H3" s="13"/>
      <c r="I3" s="13"/>
      <c r="J3" s="13"/>
      <c r="K3" s="13"/>
      <c r="L3" s="13">
        <v>121.99</v>
      </c>
      <c r="M3" s="13"/>
      <c r="N3" s="15">
        <f aca="true" t="shared" si="0" ref="N3:N42">SUM(B3:M3)</f>
        <v>4148.87</v>
      </c>
      <c r="O3" s="24">
        <f>'Feb 19'!$N3+'Jan 19'!$N3</f>
        <v>7087.0599999999995</v>
      </c>
    </row>
    <row r="4" spans="1:15" ht="12.75">
      <c r="A4" s="25" t="s">
        <v>8</v>
      </c>
      <c r="B4" s="122">
        <v>441.77</v>
      </c>
      <c r="C4" s="13">
        <v>1307.82</v>
      </c>
      <c r="D4" s="110">
        <v>250.02</v>
      </c>
      <c r="E4" s="164">
        <v>267.81</v>
      </c>
      <c r="F4" s="16"/>
      <c r="G4" s="16"/>
      <c r="H4" s="16"/>
      <c r="I4" s="16">
        <v>1379.88</v>
      </c>
      <c r="J4" s="16"/>
      <c r="K4" s="16"/>
      <c r="L4" s="16"/>
      <c r="M4" s="16"/>
      <c r="N4" s="15">
        <f t="shared" si="0"/>
        <v>3647.3</v>
      </c>
      <c r="O4" s="24">
        <f>'Feb 19'!$N4+'Jan 19'!$N4</f>
        <v>7303.73</v>
      </c>
    </row>
    <row r="5" spans="1:15" ht="12.75">
      <c r="A5" s="25" t="s">
        <v>100</v>
      </c>
      <c r="B5" s="122">
        <v>441.77</v>
      </c>
      <c r="C5" s="13">
        <v>1307.82</v>
      </c>
      <c r="D5" s="110"/>
      <c r="E5" s="111"/>
      <c r="F5" s="16"/>
      <c r="G5" s="16"/>
      <c r="H5" s="16"/>
      <c r="I5" s="16"/>
      <c r="J5" s="16"/>
      <c r="K5" s="16"/>
      <c r="L5" s="16"/>
      <c r="M5" s="16"/>
      <c r="N5" s="15">
        <f t="shared" si="0"/>
        <v>1749.59</v>
      </c>
      <c r="O5" s="24">
        <f>'Feb 19'!$N5+'Jan 19'!$N5</f>
        <v>4807</v>
      </c>
    </row>
    <row r="6" spans="1:15" ht="12.75">
      <c r="A6" s="22" t="s">
        <v>11</v>
      </c>
      <c r="B6" s="122">
        <v>441.77</v>
      </c>
      <c r="C6" s="13">
        <v>1307.82</v>
      </c>
      <c r="D6" s="112"/>
      <c r="E6" s="113"/>
      <c r="F6" s="13">
        <f>3446.75+2069.53</f>
        <v>5516.280000000001</v>
      </c>
      <c r="G6" s="13">
        <v>2299.8</v>
      </c>
      <c r="H6" s="13"/>
      <c r="I6" s="13"/>
      <c r="J6" s="13"/>
      <c r="K6" s="13"/>
      <c r="L6" s="13"/>
      <c r="M6" s="13"/>
      <c r="N6" s="15">
        <f t="shared" si="0"/>
        <v>9565.670000000002</v>
      </c>
      <c r="O6" s="24">
        <f>'Feb 19'!$N6+'Jan 19'!$N6</f>
        <v>13615.060000000001</v>
      </c>
    </row>
    <row r="7" spans="1:15" ht="12.75">
      <c r="A7" s="25" t="s">
        <v>12</v>
      </c>
      <c r="B7" s="122">
        <v>598.79</v>
      </c>
      <c r="C7" s="13">
        <v>1307.82</v>
      </c>
      <c r="D7" s="110"/>
      <c r="E7" s="164">
        <f>534.67+425.35+481.28+533+503.86+528.92+432.12+528.92+541.36+428.66+470.96+302.41+362.17+383.42+464.75+287.05</f>
        <v>7208.9</v>
      </c>
      <c r="F7" s="16">
        <f>1423.59+1713.25</f>
        <v>3136.84</v>
      </c>
      <c r="G7" s="16"/>
      <c r="H7" s="16">
        <v>459.96</v>
      </c>
      <c r="I7" s="16"/>
      <c r="J7" s="16"/>
      <c r="K7" s="16"/>
      <c r="L7" s="16"/>
      <c r="M7" s="16"/>
      <c r="N7" s="15">
        <f t="shared" si="0"/>
        <v>12712.31</v>
      </c>
      <c r="O7" s="24">
        <f>'Feb 19'!$N7+'Jan 19'!$N7</f>
        <v>15577.57</v>
      </c>
    </row>
    <row r="8" spans="1:15" ht="12.75">
      <c r="A8" s="25" t="s">
        <v>84</v>
      </c>
      <c r="B8" s="122">
        <v>441.77</v>
      </c>
      <c r="C8" s="13">
        <v>1307.82</v>
      </c>
      <c r="D8" s="112"/>
      <c r="E8" s="113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24">
        <f>'Feb 19'!$N8+'Jan 19'!$N8</f>
        <v>3499.18</v>
      </c>
    </row>
    <row r="9" spans="1:15" ht="12.75">
      <c r="A9" s="22" t="s">
        <v>83</v>
      </c>
      <c r="B9" s="162">
        <v>95.18</v>
      </c>
      <c r="C9" s="13">
        <v>1307.82</v>
      </c>
      <c r="D9" s="112"/>
      <c r="E9" s="113"/>
      <c r="F9" s="13"/>
      <c r="G9" s="13"/>
      <c r="H9" s="13"/>
      <c r="I9" s="13"/>
      <c r="J9" s="13"/>
      <c r="K9" s="13"/>
      <c r="L9" s="13"/>
      <c r="M9" s="13">
        <v>500</v>
      </c>
      <c r="N9" s="15">
        <f>SUM(B9:M9)</f>
        <v>1903</v>
      </c>
      <c r="O9" s="24">
        <f>'Feb 19'!$N9+'Jan 19'!$N9</f>
        <v>4152.59</v>
      </c>
    </row>
    <row r="10" spans="1:15" ht="12.75">
      <c r="A10" s="25" t="s">
        <v>14</v>
      </c>
      <c r="B10" s="170">
        <v>0</v>
      </c>
      <c r="C10" s="13">
        <v>1307.82</v>
      </c>
      <c r="D10" s="110"/>
      <c r="E10" s="164">
        <v>214.64</v>
      </c>
      <c r="F10" s="16"/>
      <c r="G10" s="16"/>
      <c r="H10" s="16"/>
      <c r="I10" s="16"/>
      <c r="J10" s="16"/>
      <c r="K10" s="16">
        <v>275</v>
      </c>
      <c r="L10" s="16">
        <v>171.5</v>
      </c>
      <c r="M10" s="16">
        <v>500</v>
      </c>
      <c r="N10" s="15">
        <f t="shared" si="0"/>
        <v>2468.96</v>
      </c>
      <c r="O10" s="24">
        <f>'Feb 19'!$N10+'Jan 19'!$N10</f>
        <v>5276.68</v>
      </c>
    </row>
    <row r="11" spans="1:15" ht="12.75">
      <c r="A11" s="22" t="s">
        <v>15</v>
      </c>
      <c r="B11" s="155">
        <v>544.65</v>
      </c>
      <c r="C11" s="13">
        <v>1307.82</v>
      </c>
      <c r="D11" s="112">
        <v>517.86</v>
      </c>
      <c r="E11" s="113"/>
      <c r="F11" s="13"/>
      <c r="G11" s="13"/>
      <c r="H11" s="13"/>
      <c r="I11" s="13"/>
      <c r="J11" s="13"/>
      <c r="K11" s="13"/>
      <c r="L11" s="13"/>
      <c r="M11" s="13"/>
      <c r="N11" s="15">
        <f t="shared" si="0"/>
        <v>2370.33</v>
      </c>
      <c r="O11" s="24">
        <f>'Feb 19'!$N11+'Jan 19'!$N11</f>
        <v>4222.799999999999</v>
      </c>
    </row>
    <row r="12" spans="1:15" ht="12.75">
      <c r="A12" s="25" t="s">
        <v>16</v>
      </c>
      <c r="B12" s="156">
        <v>701.67</v>
      </c>
      <c r="C12" s="13">
        <v>1307.82</v>
      </c>
      <c r="D12" s="110">
        <v>599.78</v>
      </c>
      <c r="E12" s="111">
        <v>788.71</v>
      </c>
      <c r="F12" s="16"/>
      <c r="G12" s="16"/>
      <c r="H12" s="16"/>
      <c r="I12" s="16"/>
      <c r="J12" s="16"/>
      <c r="K12" s="16">
        <v>150</v>
      </c>
      <c r="L12" s="16">
        <f>49.92+216.8</f>
        <v>266.72</v>
      </c>
      <c r="M12" s="16"/>
      <c r="N12" s="15">
        <f t="shared" si="0"/>
        <v>3814.7</v>
      </c>
      <c r="O12" s="24">
        <f>'Feb 19'!$N12+'Jan 19'!$N12</f>
        <v>5824.19</v>
      </c>
    </row>
    <row r="13" spans="1:15" ht="12.75">
      <c r="A13" s="22" t="s">
        <v>17</v>
      </c>
      <c r="B13" s="162">
        <v>590.85</v>
      </c>
      <c r="C13" s="13">
        <v>1307.82</v>
      </c>
      <c r="D13" s="112">
        <v>599.53</v>
      </c>
      <c r="E13" s="165">
        <v>756.77</v>
      </c>
      <c r="F13" s="13"/>
      <c r="G13" s="13"/>
      <c r="H13" s="13"/>
      <c r="I13" s="13"/>
      <c r="J13" s="13"/>
      <c r="K13" s="13"/>
      <c r="L13" s="13">
        <v>207.45</v>
      </c>
      <c r="M13" s="13"/>
      <c r="N13" s="15">
        <f>SUM(B13:M13)</f>
        <v>3462.4199999999996</v>
      </c>
      <c r="O13" s="24">
        <f>'Feb 19'!$N13+'Jan 19'!$N13</f>
        <v>6036.32</v>
      </c>
    </row>
    <row r="14" spans="1:15" ht="12.75">
      <c r="A14" s="25" t="s">
        <v>18</v>
      </c>
      <c r="B14" s="5">
        <v>441.77</v>
      </c>
      <c r="C14" s="13">
        <v>1307.82</v>
      </c>
      <c r="D14" s="110"/>
      <c r="E14" s="111">
        <v>87.36</v>
      </c>
      <c r="F14" s="16"/>
      <c r="G14" s="16"/>
      <c r="H14" s="16"/>
      <c r="I14" s="16"/>
      <c r="J14" s="16"/>
      <c r="K14" s="16"/>
      <c r="L14" s="16"/>
      <c r="M14" s="16"/>
      <c r="N14" s="15">
        <f t="shared" si="0"/>
        <v>1836.9499999999998</v>
      </c>
      <c r="O14" s="24">
        <f>'Feb 19'!$N14+'Jan 19'!$N14</f>
        <v>4600.09</v>
      </c>
    </row>
    <row r="15" spans="1:15" ht="12.75">
      <c r="A15" s="22" t="s">
        <v>19</v>
      </c>
      <c r="B15" s="156">
        <v>485.08</v>
      </c>
      <c r="C15" s="13">
        <v>1307.82</v>
      </c>
      <c r="D15" s="112"/>
      <c r="E15" s="113"/>
      <c r="F15" s="13"/>
      <c r="G15" s="13"/>
      <c r="H15" s="13"/>
      <c r="I15" s="13"/>
      <c r="J15" s="13"/>
      <c r="K15" s="13"/>
      <c r="L15" s="13">
        <v>102.94</v>
      </c>
      <c r="M15" s="13"/>
      <c r="N15" s="15">
        <f t="shared" si="0"/>
        <v>1895.84</v>
      </c>
      <c r="O15" s="24">
        <f>'Feb 19'!$N15+'Jan 19'!$N15</f>
        <v>3688.74</v>
      </c>
    </row>
    <row r="16" spans="1:15" ht="12.75">
      <c r="A16" s="22" t="s">
        <v>93</v>
      </c>
      <c r="B16" s="156">
        <v>441.77</v>
      </c>
      <c r="C16" s="13">
        <v>1307.82</v>
      </c>
      <c r="D16" s="112"/>
      <c r="E16" s="113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24">
        <f>'Feb 19'!$N16+'Jan 19'!$N16</f>
        <v>3499.18</v>
      </c>
    </row>
    <row r="17" spans="1:15" ht="12.75">
      <c r="A17" s="25" t="s">
        <v>20</v>
      </c>
      <c r="B17" s="156">
        <v>441.77</v>
      </c>
      <c r="C17" s="13">
        <v>1307.82</v>
      </c>
      <c r="D17" s="110"/>
      <c r="E17" s="111"/>
      <c r="F17" s="16"/>
      <c r="G17" s="16"/>
      <c r="H17" s="16"/>
      <c r="I17" s="16"/>
      <c r="J17" s="16"/>
      <c r="K17" s="16"/>
      <c r="L17" s="16">
        <v>58.33</v>
      </c>
      <c r="M17" s="16"/>
      <c r="N17" s="15">
        <f t="shared" si="0"/>
        <v>1807.9199999999998</v>
      </c>
      <c r="O17" s="24">
        <f>'Feb 19'!$N17+'Jan 19'!$N17</f>
        <v>3557.5099999999998</v>
      </c>
    </row>
    <row r="18" spans="1:15" ht="12.75">
      <c r="A18" s="22" t="s">
        <v>21</v>
      </c>
      <c r="B18" s="156">
        <v>441.77</v>
      </c>
      <c r="C18" s="13">
        <v>1307.82</v>
      </c>
      <c r="D18" s="112"/>
      <c r="E18" s="113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2249.59</v>
      </c>
      <c r="O18" s="24">
        <f>'Feb 19'!$N18+'Jan 19'!$N18</f>
        <v>4683.8</v>
      </c>
    </row>
    <row r="19" spans="1:15" ht="12.75">
      <c r="A19" s="25" t="s">
        <v>22</v>
      </c>
      <c r="B19" s="156">
        <v>490.5</v>
      </c>
      <c r="C19" s="13">
        <v>1307.82</v>
      </c>
      <c r="D19" s="110"/>
      <c r="E19" s="111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1798.32</v>
      </c>
      <c r="O19" s="24">
        <f>'Feb 19'!$N19+'Jan 19'!$N19</f>
        <v>3596.64</v>
      </c>
    </row>
    <row r="20" spans="1:15" ht="12.75">
      <c r="A20" s="22" t="s">
        <v>23</v>
      </c>
      <c r="B20" s="156">
        <v>441.77</v>
      </c>
      <c r="C20" s="13">
        <v>1307.82</v>
      </c>
      <c r="D20" s="112"/>
      <c r="E20" s="113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24">
        <f>'Feb 19'!$N20+'Jan 19'!$N20</f>
        <v>3499.18</v>
      </c>
    </row>
    <row r="21" spans="1:15" ht="12.75">
      <c r="A21" s="25" t="s">
        <v>24</v>
      </c>
      <c r="B21" s="162">
        <v>384.01</v>
      </c>
      <c r="C21" s="13">
        <v>1307.82</v>
      </c>
      <c r="D21" s="110">
        <v>250.02</v>
      </c>
      <c r="E21" s="111">
        <f>97.09+380.75</f>
        <v>477.84000000000003</v>
      </c>
      <c r="F21" s="16"/>
      <c r="G21" s="16"/>
      <c r="H21" s="16"/>
      <c r="I21" s="16"/>
      <c r="J21" s="16"/>
      <c r="K21" s="16"/>
      <c r="L21" s="16">
        <v>150</v>
      </c>
      <c r="M21" s="16"/>
      <c r="N21" s="15">
        <f>SUM(B21:M21)</f>
        <v>2569.69</v>
      </c>
      <c r="O21" s="24">
        <f>'Feb 19'!$N21+'Jan 19'!$N21</f>
        <v>4975.8099999999995</v>
      </c>
    </row>
    <row r="22" spans="1:15" ht="12.75">
      <c r="A22" s="22" t="s">
        <v>25</v>
      </c>
      <c r="B22" s="169">
        <v>441.77</v>
      </c>
      <c r="C22" s="13">
        <v>1307.82</v>
      </c>
      <c r="D22" s="112"/>
      <c r="E22" s="113"/>
      <c r="F22" s="13"/>
      <c r="G22" s="13"/>
      <c r="H22" s="13"/>
      <c r="I22" s="13"/>
      <c r="J22" s="13"/>
      <c r="K22" s="13"/>
      <c r="L22" s="13">
        <v>150</v>
      </c>
      <c r="M22" s="13"/>
      <c r="N22" s="15">
        <f t="shared" si="0"/>
        <v>1899.59</v>
      </c>
      <c r="O22" s="24">
        <f>'Feb 19'!$N22+'Jan 19'!$N22</f>
        <v>3649.18</v>
      </c>
    </row>
    <row r="23" spans="1:15" ht="12.75">
      <c r="A23" s="25" t="s">
        <v>26</v>
      </c>
      <c r="B23" s="162">
        <v>152.95</v>
      </c>
      <c r="C23" s="13">
        <v>1307.82</v>
      </c>
      <c r="D23" s="110"/>
      <c r="E23" s="164">
        <f>279.9+426.44</f>
        <v>706.3399999999999</v>
      </c>
      <c r="F23" s="16"/>
      <c r="G23" s="16"/>
      <c r="H23" s="16"/>
      <c r="I23" s="16"/>
      <c r="J23" s="16"/>
      <c r="K23" s="16"/>
      <c r="L23" s="16"/>
      <c r="M23" s="16"/>
      <c r="N23" s="15">
        <f>SUM(B23:M23)</f>
        <v>2167.1099999999997</v>
      </c>
      <c r="O23" s="24">
        <f>'Feb 19'!$N23+'Jan 19'!$N23</f>
        <v>3916.7</v>
      </c>
    </row>
    <row r="24" spans="1:15" ht="12.75">
      <c r="A24" s="22" t="s">
        <v>27</v>
      </c>
      <c r="B24" s="169">
        <v>441.77</v>
      </c>
      <c r="C24" s="13">
        <v>1307.82</v>
      </c>
      <c r="D24" s="112"/>
      <c r="E24" s="113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24">
        <f>'Feb 19'!$N24+'Jan 19'!$N24</f>
        <v>3499.18</v>
      </c>
    </row>
    <row r="25" spans="1:15" ht="12.75">
      <c r="A25" s="25" t="s">
        <v>28</v>
      </c>
      <c r="B25" s="162">
        <v>0</v>
      </c>
      <c r="C25" s="13">
        <v>1307.82</v>
      </c>
      <c r="D25" s="110"/>
      <c r="E25" s="111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1307.82</v>
      </c>
      <c r="O25" s="24">
        <f>'Feb 19'!$N25+'Jan 19'!$N25</f>
        <v>3263.17</v>
      </c>
    </row>
    <row r="26" spans="1:15" ht="12.75">
      <c r="A26" s="22" t="s">
        <v>29</v>
      </c>
      <c r="B26" s="155">
        <v>522.99</v>
      </c>
      <c r="C26" s="13">
        <v>1307.82</v>
      </c>
      <c r="D26" s="112"/>
      <c r="E26" s="113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1830.81</v>
      </c>
      <c r="O26" s="24">
        <f>'Feb 19'!$N26+'Jan 19'!$N26</f>
        <v>3661.62</v>
      </c>
    </row>
    <row r="27" spans="1:15" ht="12.75">
      <c r="A27" s="22" t="s">
        <v>31</v>
      </c>
      <c r="B27" s="156">
        <v>495.91</v>
      </c>
      <c r="C27" s="13">
        <v>1307.82</v>
      </c>
      <c r="D27" s="112">
        <v>112.2</v>
      </c>
      <c r="E27" s="165">
        <f>284.59+559.85+89.33</f>
        <v>933.7700000000001</v>
      </c>
      <c r="F27" s="13"/>
      <c r="G27" s="13"/>
      <c r="H27" s="13"/>
      <c r="I27" s="13"/>
      <c r="J27" s="13"/>
      <c r="K27" s="13"/>
      <c r="L27" s="13"/>
      <c r="M27" s="13"/>
      <c r="N27" s="15">
        <f t="shared" si="0"/>
        <v>2849.7000000000003</v>
      </c>
      <c r="O27" s="24">
        <f>'Feb 19'!$N27+'Jan 19'!$N27</f>
        <v>4653.43</v>
      </c>
    </row>
    <row r="28" spans="1:15" ht="12.75">
      <c r="A28" s="25" t="s">
        <v>32</v>
      </c>
      <c r="B28" s="162">
        <v>0</v>
      </c>
      <c r="C28" s="13">
        <v>1307.82</v>
      </c>
      <c r="D28" s="110"/>
      <c r="E28" s="111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1307.82</v>
      </c>
      <c r="O28" s="24">
        <f>'Feb 19'!$N28+'Jan 19'!$N28</f>
        <v>3057.41</v>
      </c>
    </row>
    <row r="29" spans="1:15" ht="12.75">
      <c r="A29" s="22" t="s">
        <v>33</v>
      </c>
      <c r="B29" s="162">
        <v>0</v>
      </c>
      <c r="C29" s="13">
        <v>1307.82</v>
      </c>
      <c r="D29" s="112"/>
      <c r="E29" s="113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1307.82</v>
      </c>
      <c r="O29" s="24">
        <f>'Feb 19'!$N29+'Jan 19'!$N29</f>
        <v>3057.41</v>
      </c>
    </row>
    <row r="30" spans="1:15" ht="12.75">
      <c r="A30" s="25" t="s">
        <v>34</v>
      </c>
      <c r="B30" s="155">
        <v>495.91</v>
      </c>
      <c r="C30" s="13">
        <v>1307.82</v>
      </c>
      <c r="D30" s="110"/>
      <c r="E30" s="111">
        <f>152.75+214.88</f>
        <v>367.63</v>
      </c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2671.36</v>
      </c>
      <c r="O30" s="24">
        <f>'Feb 19'!$N30+'Jan 19'!$N30</f>
        <v>5055.13</v>
      </c>
    </row>
    <row r="31" spans="1:15" ht="12.75">
      <c r="A31" s="22" t="s">
        <v>35</v>
      </c>
      <c r="B31" s="171">
        <v>0</v>
      </c>
      <c r="C31" s="13">
        <v>1307.82</v>
      </c>
      <c r="D31" s="112"/>
      <c r="E31" s="113"/>
      <c r="F31" s="13"/>
      <c r="G31" s="13"/>
      <c r="H31" s="13"/>
      <c r="I31" s="13"/>
      <c r="J31" s="13"/>
      <c r="K31" s="13">
        <v>150</v>
      </c>
      <c r="L31" s="13">
        <v>229.15</v>
      </c>
      <c r="M31" s="13"/>
      <c r="N31" s="15">
        <f t="shared" si="0"/>
        <v>1686.97</v>
      </c>
      <c r="O31" s="24">
        <f>'Feb 19'!$N31+'Jan 19'!$N31</f>
        <v>3517.7799999999997</v>
      </c>
    </row>
    <row r="32" spans="1:15" ht="12.75">
      <c r="A32" s="25" t="s">
        <v>36</v>
      </c>
      <c r="B32" s="155">
        <v>441.77</v>
      </c>
      <c r="C32" s="13">
        <v>1307.82</v>
      </c>
      <c r="D32" s="110">
        <v>699.92</v>
      </c>
      <c r="E32" s="111">
        <f>327.96+82.98</f>
        <v>410.94</v>
      </c>
      <c r="F32" s="16"/>
      <c r="G32" s="16"/>
      <c r="H32" s="16"/>
      <c r="I32" s="16"/>
      <c r="J32" s="16"/>
      <c r="K32" s="16"/>
      <c r="L32" s="16">
        <f>178.35+73.26</f>
        <v>251.61</v>
      </c>
      <c r="M32" s="16">
        <v>500</v>
      </c>
      <c r="N32" s="15">
        <f t="shared" si="0"/>
        <v>3612.06</v>
      </c>
      <c r="O32" s="24">
        <f>'Feb 19'!$N32+'Jan 19'!$N32</f>
        <v>5861.65</v>
      </c>
    </row>
    <row r="33" spans="1:15" ht="12.75">
      <c r="A33" s="25" t="s">
        <v>82</v>
      </c>
      <c r="B33" s="156">
        <v>441.77</v>
      </c>
      <c r="C33" s="13">
        <v>1307.82</v>
      </c>
      <c r="D33" s="112"/>
      <c r="E33" s="1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24">
        <f>'Feb 19'!$N33+'Jan 19'!$N33</f>
        <v>3499.18</v>
      </c>
    </row>
    <row r="34" spans="1:15" ht="12.75">
      <c r="A34" s="22" t="s">
        <v>39</v>
      </c>
      <c r="B34" s="156">
        <v>593.38</v>
      </c>
      <c r="C34" s="13">
        <v>1307.82</v>
      </c>
      <c r="D34" s="110"/>
      <c r="E34" s="111"/>
      <c r="F34" s="16">
        <v>884.28</v>
      </c>
      <c r="G34" s="16"/>
      <c r="H34" s="16"/>
      <c r="I34" s="16"/>
      <c r="J34" s="16">
        <v>459.96</v>
      </c>
      <c r="K34" s="16"/>
      <c r="L34" s="16"/>
      <c r="M34" s="16"/>
      <c r="N34" s="15">
        <f t="shared" si="0"/>
        <v>3245.4399999999996</v>
      </c>
      <c r="O34" s="24">
        <f>'Feb 19'!$N34+'Jan 19'!$N34</f>
        <v>5606.599999999999</v>
      </c>
    </row>
    <row r="35" spans="1:15" ht="12.75">
      <c r="A35" s="25" t="s">
        <v>40</v>
      </c>
      <c r="B35" s="156">
        <v>636.7</v>
      </c>
      <c r="C35" s="13">
        <v>1307.82</v>
      </c>
      <c r="D35" s="112"/>
      <c r="E35" s="165">
        <f>326.16+313.05</f>
        <v>639.21</v>
      </c>
      <c r="F35" s="13"/>
      <c r="G35" s="13"/>
      <c r="H35" s="13"/>
      <c r="I35" s="13"/>
      <c r="J35" s="13"/>
      <c r="K35" s="13"/>
      <c r="L35" s="13">
        <v>74.37</v>
      </c>
      <c r="M35" s="13">
        <v>500</v>
      </c>
      <c r="N35" s="15">
        <f t="shared" si="0"/>
        <v>3158.1</v>
      </c>
      <c r="O35" s="24">
        <f>'Feb 19'!$N35+'Jan 19'!$N35</f>
        <v>6295.07</v>
      </c>
    </row>
    <row r="36" spans="1:15" ht="12.75">
      <c r="A36" s="22" t="s">
        <v>41</v>
      </c>
      <c r="B36" s="155">
        <v>441.77</v>
      </c>
      <c r="C36" s="13">
        <v>1307.82</v>
      </c>
      <c r="D36" s="110"/>
      <c r="E36" s="111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1749.59</v>
      </c>
      <c r="O36" s="24">
        <f>'Feb 19'!$N36+'Jan 19'!$N36</f>
        <v>3634.55</v>
      </c>
    </row>
    <row r="37" spans="1:15" ht="12.75">
      <c r="A37" s="25" t="s">
        <v>42</v>
      </c>
      <c r="B37" s="156">
        <v>663.77</v>
      </c>
      <c r="C37" s="13">
        <v>1307.82</v>
      </c>
      <c r="D37" s="112"/>
      <c r="E37" s="114">
        <v>474.42</v>
      </c>
      <c r="F37" s="13"/>
      <c r="G37" s="13"/>
      <c r="H37" s="13"/>
      <c r="I37" s="13"/>
      <c r="J37" s="16">
        <v>459.96</v>
      </c>
      <c r="K37" s="13"/>
      <c r="L37" s="13"/>
      <c r="M37" s="13"/>
      <c r="N37" s="15">
        <f t="shared" si="0"/>
        <v>2905.97</v>
      </c>
      <c r="O37" s="24">
        <f>'Feb 19'!$N37+'Jan 19'!$N37</f>
        <v>8460.039999999999</v>
      </c>
    </row>
    <row r="38" spans="1:15" ht="12.75">
      <c r="A38" s="22" t="s">
        <v>43</v>
      </c>
      <c r="B38" s="162">
        <v>362.84</v>
      </c>
      <c r="C38" s="13">
        <v>1307.82</v>
      </c>
      <c r="D38" s="115"/>
      <c r="E38" s="116"/>
      <c r="F38" s="27"/>
      <c r="G38" s="27"/>
      <c r="H38" s="27"/>
      <c r="I38" s="27"/>
      <c r="J38" s="27"/>
      <c r="K38" s="27"/>
      <c r="L38" s="27"/>
      <c r="M38" s="27"/>
      <c r="N38" s="15">
        <f t="shared" si="0"/>
        <v>1670.6599999999999</v>
      </c>
      <c r="O38" s="24">
        <f>'Feb 19'!$N38+'Jan 19'!$N38</f>
        <v>3490.64</v>
      </c>
    </row>
    <row r="39" spans="1:15" ht="12.75">
      <c r="A39" s="25" t="s">
        <v>44</v>
      </c>
      <c r="B39" s="156">
        <v>441.77</v>
      </c>
      <c r="C39" s="13">
        <v>1307.82</v>
      </c>
      <c r="D39" s="117">
        <v>250.02</v>
      </c>
      <c r="E39" s="116">
        <f>656.28+267.36+379.85</f>
        <v>1303.49</v>
      </c>
      <c r="F39" s="105"/>
      <c r="G39" s="73"/>
      <c r="H39" s="73"/>
      <c r="I39" s="73"/>
      <c r="J39" s="73"/>
      <c r="K39" s="122">
        <v>125</v>
      </c>
      <c r="L39" s="122">
        <v>192.07</v>
      </c>
      <c r="M39" s="73"/>
      <c r="N39" s="15">
        <f t="shared" si="0"/>
        <v>3620.17</v>
      </c>
      <c r="O39" s="24">
        <f>'Feb 19'!$N39+'Jan 19'!$N39</f>
        <v>5369.76</v>
      </c>
    </row>
    <row r="40" spans="1:15" ht="12.75">
      <c r="A40" s="22" t="s">
        <v>45</v>
      </c>
      <c r="B40" s="162">
        <v>217.86</v>
      </c>
      <c r="C40" s="13">
        <v>1307.82</v>
      </c>
      <c r="D40" s="116"/>
      <c r="E40" s="116"/>
      <c r="F40" s="73"/>
      <c r="G40" s="73"/>
      <c r="H40" s="73"/>
      <c r="I40" s="73"/>
      <c r="J40" s="73"/>
      <c r="K40" s="73"/>
      <c r="L40" s="73"/>
      <c r="M40" s="73"/>
      <c r="N40" s="15">
        <f t="shared" si="0"/>
        <v>1525.6799999999998</v>
      </c>
      <c r="O40" s="24">
        <f>'Feb 19'!$N40+'Jan 19'!$N40</f>
        <v>3453.95</v>
      </c>
    </row>
    <row r="41" spans="1:15" ht="12.75">
      <c r="A41" s="87" t="s">
        <v>46</v>
      </c>
      <c r="B41" s="122">
        <v>447.18</v>
      </c>
      <c r="C41" s="13">
        <v>1307.82</v>
      </c>
      <c r="D41" s="116"/>
      <c r="E41" s="116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1755</v>
      </c>
      <c r="O41" s="24">
        <f>'Feb 19'!$N41+'Jan 19'!$N41</f>
        <v>3510</v>
      </c>
    </row>
    <row r="42" spans="1:15" ht="13.5" thickBot="1">
      <c r="A42" s="102" t="s">
        <v>91</v>
      </c>
      <c r="B42" s="163">
        <v>158.44</v>
      </c>
      <c r="C42" s="13">
        <v>1307.82</v>
      </c>
      <c r="D42" s="100"/>
      <c r="E42" s="100"/>
      <c r="F42" s="100"/>
      <c r="G42" s="100"/>
      <c r="H42" s="100"/>
      <c r="I42" s="100"/>
      <c r="J42" s="16">
        <v>459.96</v>
      </c>
      <c r="K42" s="100"/>
      <c r="L42" s="100"/>
      <c r="M42" s="100"/>
      <c r="N42" s="15">
        <f t="shared" si="0"/>
        <v>1926.22</v>
      </c>
      <c r="O42" s="24">
        <f>'Feb 19'!$N42+'Jan 19'!$N42</f>
        <v>4428.16</v>
      </c>
    </row>
    <row r="43" spans="1:15" ht="14.25" thickBot="1" thickTop="1">
      <c r="A43" s="81"/>
      <c r="B43" s="97">
        <f aca="true" t="shared" si="1" ref="B43:O43">SUM(B3:B42)</f>
        <v>17149.790000000005</v>
      </c>
      <c r="C43" s="97">
        <f t="shared" si="1"/>
        <v>52312.799999999996</v>
      </c>
      <c r="D43" s="97">
        <f t="shared" si="1"/>
        <v>3279.35</v>
      </c>
      <c r="E43" s="97">
        <f t="shared" si="1"/>
        <v>15472.309999999998</v>
      </c>
      <c r="F43" s="97">
        <f t="shared" si="1"/>
        <v>9537.400000000001</v>
      </c>
      <c r="G43" s="97">
        <f t="shared" si="1"/>
        <v>2299.8</v>
      </c>
      <c r="H43" s="97">
        <f t="shared" si="1"/>
        <v>459.96</v>
      </c>
      <c r="I43" s="97">
        <f t="shared" si="1"/>
        <v>1379.88</v>
      </c>
      <c r="J43" s="97">
        <f t="shared" si="1"/>
        <v>1379.8799999999999</v>
      </c>
      <c r="K43" s="97">
        <f t="shared" si="1"/>
        <v>700</v>
      </c>
      <c r="L43" s="97">
        <f t="shared" si="1"/>
        <v>1976.1300000000003</v>
      </c>
      <c r="M43" s="97">
        <f t="shared" si="1"/>
        <v>3000</v>
      </c>
      <c r="N43" s="97">
        <f t="shared" si="1"/>
        <v>108947.29999999997</v>
      </c>
      <c r="O43" s="94">
        <f t="shared" si="1"/>
        <v>200443.74</v>
      </c>
    </row>
    <row r="44" ht="13.5" thickTop="1">
      <c r="N44" s="5"/>
    </row>
    <row r="45" spans="3:14" ht="12.75">
      <c r="C45" s="5"/>
      <c r="N45" s="5"/>
    </row>
    <row r="46" ht="12.75">
      <c r="C46" s="5"/>
    </row>
    <row r="50" ht="12.75">
      <c r="C50" s="93"/>
    </row>
  </sheetData>
  <sheetProtection/>
  <mergeCells count="1">
    <mergeCell ref="A1:N1"/>
  </mergeCells>
  <printOptions gridLines="1"/>
  <pageMargins left="0.31496062992125984" right="0.31496062992125984" top="0.7480314960629921" bottom="0.7480314960629921" header="0.31496062992125984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25">
      <pane xSplit="1" topLeftCell="B1" activePane="topRight" state="frozen"/>
      <selection pane="topLeft" activeCell="A1" sqref="A1"/>
      <selection pane="topRight" activeCell="G19" sqref="G19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12.140625" style="0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</cols>
  <sheetData>
    <row r="1" spans="1:14" ht="18">
      <c r="A1" s="186" t="s">
        <v>104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74</v>
      </c>
      <c r="P2" s="1"/>
      <c r="Q2" s="1"/>
    </row>
    <row r="3" spans="1:15" ht="12.75">
      <c r="A3" s="22" t="s">
        <v>7</v>
      </c>
      <c r="B3" s="122">
        <f>465.59+450</f>
        <v>915.5899999999999</v>
      </c>
      <c r="C3" s="13">
        <v>1961.73</v>
      </c>
      <c r="D3" s="13"/>
      <c r="E3" s="118"/>
      <c r="F3" s="13"/>
      <c r="G3" s="13"/>
      <c r="H3" s="13"/>
      <c r="I3" s="13"/>
      <c r="J3" s="13"/>
      <c r="K3" s="13"/>
      <c r="L3" s="13"/>
      <c r="M3" s="13"/>
      <c r="N3" s="15">
        <f aca="true" t="shared" si="0" ref="N3:N42">SUM(B3:M3)</f>
        <v>2877.3199999999997</v>
      </c>
      <c r="O3" s="24">
        <f>'Mar 19'!$N3+'Feb 19'!$O3</f>
        <v>9964.38</v>
      </c>
    </row>
    <row r="4" spans="1:15" ht="12.75">
      <c r="A4" s="25" t="s">
        <v>8</v>
      </c>
      <c r="B4" s="122">
        <v>406.77</v>
      </c>
      <c r="C4" s="13">
        <v>1961.73</v>
      </c>
      <c r="D4" s="16"/>
      <c r="E4" s="167">
        <v>271.62</v>
      </c>
      <c r="F4" s="16">
        <v>2316.25</v>
      </c>
      <c r="G4" s="16"/>
      <c r="H4" s="16"/>
      <c r="I4" s="16">
        <v>2069.82</v>
      </c>
      <c r="J4" s="16"/>
      <c r="K4" s="16"/>
      <c r="L4" s="16"/>
      <c r="M4" s="16"/>
      <c r="N4" s="15">
        <f t="shared" si="0"/>
        <v>7026.1900000000005</v>
      </c>
      <c r="O4" s="24">
        <f>'Mar 19'!$N4+'Feb 19'!$O4</f>
        <v>14329.92</v>
      </c>
    </row>
    <row r="5" spans="1:15" ht="12.75">
      <c r="A5" s="25" t="s">
        <v>100</v>
      </c>
      <c r="B5" s="122">
        <v>406.77</v>
      </c>
      <c r="C5" s="13">
        <v>1961.73</v>
      </c>
      <c r="D5" s="16"/>
      <c r="E5" s="167"/>
      <c r="F5" s="16"/>
      <c r="G5" s="16"/>
      <c r="H5" s="16"/>
      <c r="I5" s="16"/>
      <c r="J5" s="16"/>
      <c r="K5" s="16"/>
      <c r="L5" s="16"/>
      <c r="M5" s="16"/>
      <c r="N5" s="15">
        <f t="shared" si="0"/>
        <v>2368.5</v>
      </c>
      <c r="O5" s="24">
        <f>'Mar 19'!$N5+'Feb 19'!$O5</f>
        <v>7175.5</v>
      </c>
    </row>
    <row r="6" spans="1:15" ht="12.75">
      <c r="A6" s="22" t="s">
        <v>11</v>
      </c>
      <c r="B6" s="122">
        <v>441.77</v>
      </c>
      <c r="C6" s="13">
        <v>1961.73</v>
      </c>
      <c r="D6" s="13"/>
      <c r="E6" s="118"/>
      <c r="F6" s="13"/>
      <c r="G6" s="13">
        <v>3449.7</v>
      </c>
      <c r="H6" s="13"/>
      <c r="I6" s="13"/>
      <c r="J6" s="13"/>
      <c r="K6" s="13"/>
      <c r="L6" s="13"/>
      <c r="M6" s="13"/>
      <c r="N6" s="15">
        <f t="shared" si="0"/>
        <v>5853.2</v>
      </c>
      <c r="O6" s="24">
        <f>'Mar 19'!$N6+'Feb 19'!$O6</f>
        <v>19468.260000000002</v>
      </c>
    </row>
    <row r="7" spans="1:15" ht="12.75">
      <c r="A7" s="25" t="s">
        <v>12</v>
      </c>
      <c r="B7" s="122">
        <v>563.79</v>
      </c>
      <c r="C7" s="13">
        <v>1961.73</v>
      </c>
      <c r="D7" s="16"/>
      <c r="E7" s="119"/>
      <c r="F7" s="16"/>
      <c r="G7" s="16"/>
      <c r="H7" s="16">
        <v>689.94</v>
      </c>
      <c r="I7" s="16"/>
      <c r="J7" s="16"/>
      <c r="K7" s="16"/>
      <c r="L7" s="16"/>
      <c r="M7" s="16"/>
      <c r="N7" s="15">
        <f t="shared" si="0"/>
        <v>3215.46</v>
      </c>
      <c r="O7" s="24">
        <f>'Mar 19'!$N7+'Feb 19'!$O7</f>
        <v>18793.03</v>
      </c>
    </row>
    <row r="8" spans="1:15" ht="12.75">
      <c r="A8" s="25" t="s">
        <v>84</v>
      </c>
      <c r="B8" s="122">
        <v>406.77</v>
      </c>
      <c r="C8" s="13">
        <v>1961.73</v>
      </c>
      <c r="D8" s="13"/>
      <c r="E8" s="118"/>
      <c r="F8" s="13"/>
      <c r="G8" s="13"/>
      <c r="H8" s="13"/>
      <c r="I8" s="13"/>
      <c r="J8" s="13"/>
      <c r="K8" s="13"/>
      <c r="L8" s="13"/>
      <c r="M8" s="13"/>
      <c r="N8" s="15">
        <f t="shared" si="0"/>
        <v>2368.5</v>
      </c>
      <c r="O8" s="24">
        <f>'Mar 19'!$N8+'Feb 19'!$O8</f>
        <v>5867.68</v>
      </c>
    </row>
    <row r="9" spans="1:15" ht="12.75">
      <c r="A9" s="22" t="s">
        <v>83</v>
      </c>
      <c r="B9" s="122">
        <v>406.77</v>
      </c>
      <c r="C9" s="13">
        <v>1961.73</v>
      </c>
      <c r="D9" s="13"/>
      <c r="E9" s="118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2868.5</v>
      </c>
      <c r="O9" s="24">
        <f>'Mar 19'!$N9+'Feb 19'!$O9</f>
        <v>7021.09</v>
      </c>
    </row>
    <row r="10" spans="1:15" ht="12.75">
      <c r="A10" s="25" t="s">
        <v>14</v>
      </c>
      <c r="B10" s="122">
        <v>357.54</v>
      </c>
      <c r="C10" s="13">
        <v>1961.73</v>
      </c>
      <c r="D10" s="16"/>
      <c r="E10" s="119"/>
      <c r="F10" s="16"/>
      <c r="G10" s="16"/>
      <c r="H10" s="16"/>
      <c r="I10" s="16"/>
      <c r="J10" s="16"/>
      <c r="K10" s="16"/>
      <c r="L10" s="16"/>
      <c r="M10" s="16">
        <v>500</v>
      </c>
      <c r="N10" s="15">
        <f t="shared" si="0"/>
        <v>2819.27</v>
      </c>
      <c r="O10" s="24">
        <f>'Mar 19'!$N10+'Feb 19'!$O10</f>
        <v>8095.950000000001</v>
      </c>
    </row>
    <row r="11" spans="1:15" ht="12.75">
      <c r="A11" s="22" t="s">
        <v>15</v>
      </c>
      <c r="B11" s="122">
        <v>509.65</v>
      </c>
      <c r="C11" s="13">
        <v>1961.73</v>
      </c>
      <c r="D11" s="13"/>
      <c r="E11" s="118"/>
      <c r="F11" s="13"/>
      <c r="G11" s="13"/>
      <c r="H11" s="13"/>
      <c r="I11" s="13"/>
      <c r="J11" s="13"/>
      <c r="K11" s="13"/>
      <c r="L11" s="13"/>
      <c r="M11" s="13"/>
      <c r="N11" s="15">
        <f t="shared" si="0"/>
        <v>2471.38</v>
      </c>
      <c r="O11" s="24">
        <f>'Mar 19'!$N11+'Feb 19'!$O11</f>
        <v>6694.179999999999</v>
      </c>
    </row>
    <row r="12" spans="1:15" ht="12.75">
      <c r="A12" s="25" t="s">
        <v>16</v>
      </c>
      <c r="B12" s="122">
        <v>666.67</v>
      </c>
      <c r="C12" s="13">
        <v>1961.73</v>
      </c>
      <c r="D12" s="16"/>
      <c r="E12" s="119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2628.4</v>
      </c>
      <c r="O12" s="24">
        <f>'Mar 19'!$N12+'Feb 19'!$O12</f>
        <v>8452.59</v>
      </c>
    </row>
    <row r="13" spans="1:15" ht="12.75">
      <c r="A13" s="22" t="s">
        <v>17</v>
      </c>
      <c r="B13" s="122">
        <v>672.09</v>
      </c>
      <c r="C13" s="13">
        <v>1961.73</v>
      </c>
      <c r="D13" s="13"/>
      <c r="E13" s="166">
        <f>478.39+439.87</f>
        <v>918.26</v>
      </c>
      <c r="F13" s="13">
        <v>2298.51</v>
      </c>
      <c r="G13" s="13"/>
      <c r="H13" s="13"/>
      <c r="I13" s="13"/>
      <c r="J13" s="13"/>
      <c r="K13" s="13"/>
      <c r="L13" s="13"/>
      <c r="M13" s="13"/>
      <c r="N13" s="15">
        <f t="shared" si="0"/>
        <v>5850.59</v>
      </c>
      <c r="O13" s="24">
        <f>'Mar 19'!$N13+'Feb 19'!$O13</f>
        <v>11886.91</v>
      </c>
    </row>
    <row r="14" spans="1:15" ht="12.75">
      <c r="A14" s="25" t="s">
        <v>18</v>
      </c>
      <c r="B14" s="122">
        <v>406.77</v>
      </c>
      <c r="C14" s="13">
        <v>1961.73</v>
      </c>
      <c r="D14" s="16"/>
      <c r="E14" s="167">
        <f>370.74+403.43</f>
        <v>774.1700000000001</v>
      </c>
      <c r="F14" s="16">
        <v>2286.91</v>
      </c>
      <c r="G14" s="16"/>
      <c r="H14" s="16"/>
      <c r="I14" s="16"/>
      <c r="J14" s="16"/>
      <c r="K14" s="16"/>
      <c r="L14" s="16"/>
      <c r="M14" s="16"/>
      <c r="N14" s="15">
        <f t="shared" si="0"/>
        <v>5429.58</v>
      </c>
      <c r="O14" s="24">
        <f>'Mar 19'!$N14+'Feb 19'!$O14</f>
        <v>10029.67</v>
      </c>
    </row>
    <row r="15" spans="1:15" ht="12.75">
      <c r="A15" s="22" t="s">
        <v>19</v>
      </c>
      <c r="B15" s="122">
        <v>450.08</v>
      </c>
      <c r="C15" s="13">
        <v>1961.73</v>
      </c>
      <c r="D15" s="13"/>
      <c r="E15" s="118"/>
      <c r="F15" s="13"/>
      <c r="G15" s="13"/>
      <c r="H15" s="13"/>
      <c r="I15" s="13"/>
      <c r="J15" s="13"/>
      <c r="K15" s="13"/>
      <c r="L15" s="13"/>
      <c r="M15" s="13"/>
      <c r="N15" s="15">
        <f t="shared" si="0"/>
        <v>2411.81</v>
      </c>
      <c r="O15" s="24">
        <f>'Mar 19'!$N15+'Feb 19'!$O15</f>
        <v>6100.549999999999</v>
      </c>
    </row>
    <row r="16" spans="1:15" ht="12.75">
      <c r="A16" s="22" t="s">
        <v>93</v>
      </c>
      <c r="B16" s="122">
        <v>406.77</v>
      </c>
      <c r="C16" s="13">
        <v>1961.73</v>
      </c>
      <c r="D16" s="13"/>
      <c r="E16" s="118"/>
      <c r="F16" s="13"/>
      <c r="G16" s="13"/>
      <c r="H16" s="13"/>
      <c r="I16" s="13"/>
      <c r="J16" s="13"/>
      <c r="K16" s="13"/>
      <c r="L16" s="13"/>
      <c r="M16" s="13"/>
      <c r="N16" s="15">
        <f t="shared" si="0"/>
        <v>2368.5</v>
      </c>
      <c r="O16" s="24">
        <f>'Mar 19'!$N16+'Feb 19'!$O16</f>
        <v>5867.68</v>
      </c>
    </row>
    <row r="17" spans="1:15" ht="12.75">
      <c r="A17" s="25" t="s">
        <v>20</v>
      </c>
      <c r="B17" s="122">
        <v>406.77</v>
      </c>
      <c r="C17" s="13">
        <v>1961.73</v>
      </c>
      <c r="D17" s="16"/>
      <c r="E17" s="167">
        <v>391.5</v>
      </c>
      <c r="F17" s="16"/>
      <c r="G17" s="16"/>
      <c r="H17" s="16"/>
      <c r="I17" s="16"/>
      <c r="J17" s="16"/>
      <c r="K17" s="16"/>
      <c r="L17" s="16"/>
      <c r="M17" s="16"/>
      <c r="N17" s="15">
        <f t="shared" si="0"/>
        <v>2760</v>
      </c>
      <c r="O17" s="24">
        <f>'Mar 19'!$N17+'Feb 19'!$O17</f>
        <v>6317.51</v>
      </c>
    </row>
    <row r="18" spans="1:15" ht="12.75">
      <c r="A18" s="22" t="s">
        <v>21</v>
      </c>
      <c r="B18" s="122">
        <v>406.77</v>
      </c>
      <c r="C18" s="13">
        <v>1961.73</v>
      </c>
      <c r="D18" s="13"/>
      <c r="E18" s="118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2868.5</v>
      </c>
      <c r="O18" s="24">
        <f>'Mar 19'!$N18+'Feb 19'!$O18</f>
        <v>7552.3</v>
      </c>
    </row>
    <row r="19" spans="1:15" ht="12.75">
      <c r="A19" s="25" t="s">
        <v>22</v>
      </c>
      <c r="B19" s="122">
        <v>455.5</v>
      </c>
      <c r="C19" s="13">
        <v>1961.73</v>
      </c>
      <c r="D19" s="16"/>
      <c r="E19" s="119"/>
      <c r="F19" s="16"/>
      <c r="G19" s="16"/>
      <c r="H19" s="16"/>
      <c r="I19" s="16"/>
      <c r="J19" s="16"/>
      <c r="K19" s="16"/>
      <c r="L19" s="16"/>
      <c r="M19" s="16"/>
      <c r="N19" s="15">
        <f t="shared" si="0"/>
        <v>2417.23</v>
      </c>
      <c r="O19" s="24">
        <f>'Mar 19'!$N19+'Feb 19'!$O19</f>
        <v>6013.87</v>
      </c>
    </row>
    <row r="20" spans="1:15" ht="12.75">
      <c r="A20" s="22" t="s">
        <v>23</v>
      </c>
      <c r="B20" s="122">
        <v>406.77</v>
      </c>
      <c r="C20" s="13">
        <v>1961.73</v>
      </c>
      <c r="D20" s="13"/>
      <c r="E20" s="118"/>
      <c r="F20" s="13"/>
      <c r="G20" s="13"/>
      <c r="H20" s="13"/>
      <c r="I20" s="13"/>
      <c r="J20" s="13"/>
      <c r="K20" s="13"/>
      <c r="L20" s="13">
        <v>96.79</v>
      </c>
      <c r="M20" s="13"/>
      <c r="N20" s="15">
        <f t="shared" si="0"/>
        <v>2465.29</v>
      </c>
      <c r="O20" s="24">
        <f>'Mar 19'!$N20+'Feb 19'!$O20</f>
        <v>5964.469999999999</v>
      </c>
    </row>
    <row r="21" spans="1:15" ht="12.75">
      <c r="A21" s="25" t="s">
        <v>24</v>
      </c>
      <c r="B21" s="122">
        <v>406.77</v>
      </c>
      <c r="C21" s="13">
        <v>1961.73</v>
      </c>
      <c r="D21" s="16"/>
      <c r="E21" s="167">
        <v>424.64</v>
      </c>
      <c r="F21" s="16"/>
      <c r="G21" s="16"/>
      <c r="H21" s="16"/>
      <c r="I21" s="16"/>
      <c r="J21" s="16"/>
      <c r="K21" s="16"/>
      <c r="L21" s="16"/>
      <c r="M21" s="16"/>
      <c r="N21" s="15">
        <f t="shared" si="0"/>
        <v>2793.14</v>
      </c>
      <c r="O21" s="24">
        <f>'Mar 19'!$N21+'Feb 19'!$O21</f>
        <v>7768.949999999999</v>
      </c>
    </row>
    <row r="22" spans="1:15" ht="12.75">
      <c r="A22" s="22" t="s">
        <v>25</v>
      </c>
      <c r="B22" s="122">
        <v>441.77</v>
      </c>
      <c r="C22" s="13">
        <v>1961.73</v>
      </c>
      <c r="D22" s="13"/>
      <c r="E22" s="118"/>
      <c r="F22" s="13"/>
      <c r="G22" s="13"/>
      <c r="H22" s="13"/>
      <c r="I22" s="13"/>
      <c r="J22" s="13"/>
      <c r="K22" s="13"/>
      <c r="L22" s="13"/>
      <c r="M22" s="13"/>
      <c r="N22" s="15">
        <f t="shared" si="0"/>
        <v>2403.5</v>
      </c>
      <c r="O22" s="24">
        <f>'Mar 19'!$N22+'Feb 19'!$O22</f>
        <v>6052.68</v>
      </c>
    </row>
    <row r="23" spans="1:15" ht="12.75">
      <c r="A23" s="25" t="s">
        <v>26</v>
      </c>
      <c r="B23" s="122">
        <v>441.77</v>
      </c>
      <c r="C23" s="13">
        <v>1961.73</v>
      </c>
      <c r="D23" s="110"/>
      <c r="E23" s="167">
        <v>425.54</v>
      </c>
      <c r="F23" s="16"/>
      <c r="G23" s="16"/>
      <c r="H23" s="16"/>
      <c r="I23" s="16"/>
      <c r="J23" s="16"/>
      <c r="K23" s="16"/>
      <c r="L23" s="16"/>
      <c r="M23" s="16"/>
      <c r="N23" s="15">
        <f t="shared" si="0"/>
        <v>2829.04</v>
      </c>
      <c r="O23" s="24">
        <f>'Mar 19'!$N23+'Feb 19'!$O23</f>
        <v>6745.74</v>
      </c>
    </row>
    <row r="24" spans="1:15" ht="12.75">
      <c r="A24" s="22" t="s">
        <v>27</v>
      </c>
      <c r="B24" s="122">
        <v>441.77</v>
      </c>
      <c r="C24" s="13">
        <v>1961.73</v>
      </c>
      <c r="D24" s="112"/>
      <c r="E24" s="118"/>
      <c r="F24" s="13"/>
      <c r="G24" s="13"/>
      <c r="H24" s="13"/>
      <c r="I24" s="13"/>
      <c r="J24" s="13"/>
      <c r="K24" s="13"/>
      <c r="L24" s="13"/>
      <c r="M24" s="13"/>
      <c r="N24" s="15">
        <f t="shared" si="0"/>
        <v>2403.5</v>
      </c>
      <c r="O24" s="24">
        <f>'Mar 19'!$N24+'Feb 19'!$O24</f>
        <v>5902.68</v>
      </c>
    </row>
    <row r="25" spans="1:15" ht="12.75">
      <c r="A25" s="25" t="s">
        <v>28</v>
      </c>
      <c r="B25" s="122">
        <v>0</v>
      </c>
      <c r="C25" s="13">
        <v>1961.73</v>
      </c>
      <c r="D25" s="110"/>
      <c r="E25" s="119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1961.73</v>
      </c>
      <c r="O25" s="24">
        <f>'Mar 19'!$N25+'Feb 19'!$O25</f>
        <v>5224.9</v>
      </c>
    </row>
    <row r="26" spans="1:15" ht="12.75">
      <c r="A26" s="22" t="s">
        <v>29</v>
      </c>
      <c r="B26" s="122">
        <v>487.99</v>
      </c>
      <c r="C26" s="13">
        <v>1961.73</v>
      </c>
      <c r="D26" s="112"/>
      <c r="E26" s="118"/>
      <c r="F26" s="13"/>
      <c r="G26" s="13"/>
      <c r="H26" s="13"/>
      <c r="I26" s="13"/>
      <c r="J26" s="13"/>
      <c r="K26" s="13"/>
      <c r="L26" s="13"/>
      <c r="M26" s="13"/>
      <c r="N26" s="15">
        <f t="shared" si="0"/>
        <v>2449.7200000000003</v>
      </c>
      <c r="O26" s="24">
        <f>'Mar 19'!$N26+'Feb 19'!$O26</f>
        <v>6111.34</v>
      </c>
    </row>
    <row r="27" spans="1:15" ht="12.75">
      <c r="A27" s="22" t="s">
        <v>31</v>
      </c>
      <c r="B27" s="156">
        <v>495.91</v>
      </c>
      <c r="C27" s="13">
        <v>1961.73</v>
      </c>
      <c r="D27" s="112">
        <v>250.02</v>
      </c>
      <c r="E27" s="166">
        <f>57.78+281.48</f>
        <v>339.26</v>
      </c>
      <c r="F27" s="13"/>
      <c r="G27" s="13"/>
      <c r="H27" s="13"/>
      <c r="I27" s="13"/>
      <c r="J27" s="13"/>
      <c r="K27" s="13"/>
      <c r="L27" s="13"/>
      <c r="M27" s="13"/>
      <c r="N27" s="15">
        <f t="shared" si="0"/>
        <v>3046.92</v>
      </c>
      <c r="O27" s="24">
        <f>'Mar 19'!$N27+'Feb 19'!$O27</f>
        <v>7700.35</v>
      </c>
    </row>
    <row r="28" spans="1:15" ht="12.75">
      <c r="A28" s="25" t="s">
        <v>32</v>
      </c>
      <c r="B28" s="122">
        <v>0</v>
      </c>
      <c r="C28" s="13">
        <v>1961.73</v>
      </c>
      <c r="D28" s="110"/>
      <c r="E28" s="119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1961.73</v>
      </c>
      <c r="O28" s="24">
        <f>'Mar 19'!$N28+'Feb 19'!$O28</f>
        <v>5019.139999999999</v>
      </c>
    </row>
    <row r="29" spans="1:15" ht="12.75">
      <c r="A29" s="22" t="s">
        <v>33</v>
      </c>
      <c r="B29" s="122">
        <v>0</v>
      </c>
      <c r="C29" s="13">
        <v>1961.73</v>
      </c>
      <c r="D29" s="112"/>
      <c r="E29" s="118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1961.73</v>
      </c>
      <c r="O29" s="24">
        <f>'Mar 19'!$N29+'Feb 19'!$O29</f>
        <v>5019.139999999999</v>
      </c>
    </row>
    <row r="30" spans="1:15" ht="12.75">
      <c r="A30" s="25" t="s">
        <v>34</v>
      </c>
      <c r="B30" s="122">
        <v>460.91</v>
      </c>
      <c r="C30" s="13">
        <v>1961.73</v>
      </c>
      <c r="D30" s="110"/>
      <c r="E30" s="119"/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2922.64</v>
      </c>
      <c r="O30" s="24">
        <f>'Mar 19'!$N30+'Feb 19'!$O30</f>
        <v>7977.77</v>
      </c>
    </row>
    <row r="31" spans="1:15" ht="12.75">
      <c r="A31" s="22" t="s">
        <v>35</v>
      </c>
      <c r="B31" s="122">
        <v>470.18</v>
      </c>
      <c r="C31" s="13">
        <v>1961.73</v>
      </c>
      <c r="D31" s="112"/>
      <c r="E31" s="118"/>
      <c r="F31" s="13"/>
      <c r="G31" s="13"/>
      <c r="H31" s="13"/>
      <c r="I31" s="13"/>
      <c r="J31" s="13"/>
      <c r="K31" s="13"/>
      <c r="L31" s="13"/>
      <c r="M31" s="13"/>
      <c r="N31" s="15">
        <f t="shared" si="0"/>
        <v>2431.91</v>
      </c>
      <c r="O31" s="24">
        <f>'Mar 19'!$N31+'Feb 19'!$O31</f>
        <v>5949.69</v>
      </c>
    </row>
    <row r="32" spans="1:15" ht="12.75">
      <c r="A32" s="25" t="s">
        <v>36</v>
      </c>
      <c r="B32" s="122">
        <v>406.77</v>
      </c>
      <c r="C32" s="13">
        <v>1961.73</v>
      </c>
      <c r="D32" s="110"/>
      <c r="E32" s="167">
        <f>401.22+363.27</f>
        <v>764.49</v>
      </c>
      <c r="F32" s="16">
        <v>1683.49</v>
      </c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5316.48</v>
      </c>
      <c r="O32" s="24">
        <f>'Mar 19'!$N32+'Feb 19'!$O32</f>
        <v>11178.13</v>
      </c>
    </row>
    <row r="33" spans="1:15" ht="12.75">
      <c r="A33" s="25" t="s">
        <v>82</v>
      </c>
      <c r="B33" s="122">
        <v>406.77</v>
      </c>
      <c r="C33" s="13">
        <v>1961.73</v>
      </c>
      <c r="D33" s="112"/>
      <c r="E33" s="118"/>
      <c r="F33" s="13"/>
      <c r="G33" s="13"/>
      <c r="H33" s="13"/>
      <c r="I33" s="13"/>
      <c r="J33" s="13"/>
      <c r="K33" s="13"/>
      <c r="L33" s="13"/>
      <c r="M33" s="13"/>
      <c r="N33" s="15">
        <f t="shared" si="0"/>
        <v>2368.5</v>
      </c>
      <c r="O33" s="24">
        <f>'Mar 19'!$N33+'Feb 19'!$O33</f>
        <v>5867.68</v>
      </c>
    </row>
    <row r="34" spans="1:15" ht="12.75">
      <c r="A34" s="22" t="s">
        <v>39</v>
      </c>
      <c r="B34" s="122">
        <v>558.38</v>
      </c>
      <c r="C34" s="13">
        <v>1961.73</v>
      </c>
      <c r="D34" s="110"/>
      <c r="E34" s="167">
        <v>303.19</v>
      </c>
      <c r="F34" s="16"/>
      <c r="G34" s="16"/>
      <c r="H34" s="16"/>
      <c r="I34" s="16"/>
      <c r="J34" s="16">
        <v>689.94</v>
      </c>
      <c r="K34" s="16"/>
      <c r="L34" s="16"/>
      <c r="M34" s="16"/>
      <c r="N34" s="15">
        <f t="shared" si="0"/>
        <v>3513.2400000000002</v>
      </c>
      <c r="O34" s="24">
        <f>'Mar 19'!$N34+'Feb 19'!$O34</f>
        <v>9119.84</v>
      </c>
    </row>
    <row r="35" spans="1:15" ht="12.75">
      <c r="A35" s="25" t="s">
        <v>40</v>
      </c>
      <c r="B35" s="122">
        <v>636.7</v>
      </c>
      <c r="C35" s="13">
        <v>1961.73</v>
      </c>
      <c r="D35" s="112"/>
      <c r="E35" s="166">
        <v>385.18</v>
      </c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3483.61</v>
      </c>
      <c r="O35" s="24">
        <f>'Mar 19'!$N35+'Feb 19'!$O35</f>
        <v>9778.68</v>
      </c>
    </row>
    <row r="36" spans="1:15" ht="12.75">
      <c r="A36" s="22" t="s">
        <v>41</v>
      </c>
      <c r="B36" s="122">
        <v>406.77</v>
      </c>
      <c r="C36" s="13">
        <v>1961.73</v>
      </c>
      <c r="D36" s="16"/>
      <c r="E36" s="119"/>
      <c r="F36" s="16"/>
      <c r="G36" s="16"/>
      <c r="H36" s="16"/>
      <c r="I36" s="16"/>
      <c r="J36" s="16"/>
      <c r="K36" s="16"/>
      <c r="L36" s="16"/>
      <c r="M36" s="16"/>
      <c r="N36" s="15">
        <f t="shared" si="0"/>
        <v>2368.5</v>
      </c>
      <c r="O36" s="24">
        <f>'Mar 19'!$N36+'Feb 19'!$O36</f>
        <v>6003.05</v>
      </c>
    </row>
    <row r="37" spans="1:15" ht="12.75">
      <c r="A37" s="25" t="s">
        <v>42</v>
      </c>
      <c r="B37" s="122">
        <v>628.77</v>
      </c>
      <c r="C37" s="13">
        <v>1961.73</v>
      </c>
      <c r="D37" s="13"/>
      <c r="E37" s="120"/>
      <c r="F37" s="13"/>
      <c r="G37" s="13"/>
      <c r="H37" s="13"/>
      <c r="I37" s="13"/>
      <c r="J37" s="13">
        <v>689.94</v>
      </c>
      <c r="K37" s="13"/>
      <c r="L37" s="13"/>
      <c r="M37" s="13"/>
      <c r="N37" s="15">
        <f t="shared" si="0"/>
        <v>3280.44</v>
      </c>
      <c r="O37" s="24">
        <f>'Mar 19'!$N37+'Feb 19'!$O37</f>
        <v>11740.48</v>
      </c>
    </row>
    <row r="38" spans="1:15" ht="12.75">
      <c r="A38" s="22" t="s">
        <v>43</v>
      </c>
      <c r="B38" s="122">
        <v>512.16</v>
      </c>
      <c r="C38" s="13">
        <v>1961.73</v>
      </c>
      <c r="D38" s="104"/>
      <c r="E38" s="121"/>
      <c r="F38" s="27"/>
      <c r="G38" s="27"/>
      <c r="H38" s="27"/>
      <c r="I38" s="27"/>
      <c r="J38" s="27"/>
      <c r="K38" s="27"/>
      <c r="L38" s="27"/>
      <c r="M38" s="27"/>
      <c r="N38" s="15">
        <f t="shared" si="0"/>
        <v>2473.89</v>
      </c>
      <c r="O38" s="24">
        <f>'Mar 19'!$N38+'Feb 19'!$O38</f>
        <v>5964.53</v>
      </c>
    </row>
    <row r="39" spans="1:15" ht="12.75">
      <c r="A39" s="25" t="s">
        <v>44</v>
      </c>
      <c r="B39" s="122">
        <v>406.77</v>
      </c>
      <c r="C39" s="13">
        <v>1961.73</v>
      </c>
      <c r="D39" s="101"/>
      <c r="E39" s="121"/>
      <c r="F39" s="105"/>
      <c r="G39" s="73"/>
      <c r="H39" s="73"/>
      <c r="I39" s="73"/>
      <c r="J39" s="73"/>
      <c r="K39" s="73"/>
      <c r="L39" s="73"/>
      <c r="M39" s="73"/>
      <c r="N39" s="15">
        <f t="shared" si="0"/>
        <v>2368.5</v>
      </c>
      <c r="O39" s="24">
        <f>'Mar 19'!$N39+'Feb 19'!$O39</f>
        <v>7738.26</v>
      </c>
    </row>
    <row r="40" spans="1:15" ht="12.75">
      <c r="A40" s="22" t="s">
        <v>45</v>
      </c>
      <c r="B40" s="122">
        <v>585.45</v>
      </c>
      <c r="C40" s="13">
        <v>1961.73</v>
      </c>
      <c r="D40" s="73"/>
      <c r="E40" s="121"/>
      <c r="F40" s="73"/>
      <c r="G40" s="73"/>
      <c r="H40" s="73"/>
      <c r="I40" s="73"/>
      <c r="J40" s="73"/>
      <c r="K40" s="73"/>
      <c r="L40" s="73"/>
      <c r="M40" s="73"/>
      <c r="N40" s="15">
        <f t="shared" si="0"/>
        <v>2547.1800000000003</v>
      </c>
      <c r="O40" s="24">
        <f>'Mar 19'!$N40+'Feb 19'!$O40</f>
        <v>6001.13</v>
      </c>
    </row>
    <row r="41" spans="1:15" ht="12.75">
      <c r="A41" s="87" t="s">
        <v>46</v>
      </c>
      <c r="B41" s="122">
        <v>412.18</v>
      </c>
      <c r="C41" s="13">
        <v>1961.73</v>
      </c>
      <c r="D41" s="73"/>
      <c r="E41" s="121"/>
      <c r="F41" s="73"/>
      <c r="G41" s="73"/>
      <c r="H41" s="73"/>
      <c r="I41" s="73"/>
      <c r="J41" s="73"/>
      <c r="K41" s="73"/>
      <c r="L41" s="73"/>
      <c r="M41" s="73"/>
      <c r="N41" s="15">
        <f t="shared" si="0"/>
        <v>2373.91</v>
      </c>
      <c r="O41" s="24">
        <f>'Mar 19'!$N41+'Feb 19'!$O41</f>
        <v>5883.91</v>
      </c>
    </row>
    <row r="42" spans="1:15" ht="13.5" thickBot="1">
      <c r="A42" s="102" t="s">
        <v>91</v>
      </c>
      <c r="B42" s="123">
        <v>699.16</v>
      </c>
      <c r="C42" s="13">
        <v>1961.73</v>
      </c>
      <c r="D42" s="100"/>
      <c r="E42" s="100"/>
      <c r="F42" s="100"/>
      <c r="G42" s="100"/>
      <c r="H42" s="100"/>
      <c r="I42" s="100"/>
      <c r="J42" s="100">
        <v>689.94</v>
      </c>
      <c r="K42" s="100"/>
      <c r="L42" s="100"/>
      <c r="M42" s="100"/>
      <c r="N42" s="15">
        <f t="shared" si="0"/>
        <v>3350.83</v>
      </c>
      <c r="O42" s="24">
        <f>'Mar 19'!$N42+'Feb 19'!$O42</f>
        <v>7778.99</v>
      </c>
    </row>
    <row r="43" spans="1:15" ht="14.25" thickBot="1" thickTop="1">
      <c r="A43" s="81"/>
      <c r="B43" s="97">
        <f aca="true" t="shared" si="1" ref="B43:O43">SUM(B3:B42)</f>
        <v>18000.560000000005</v>
      </c>
      <c r="C43" s="97">
        <f t="shared" si="1"/>
        <v>78469.20000000003</v>
      </c>
      <c r="D43" s="97">
        <f t="shared" si="1"/>
        <v>250.02</v>
      </c>
      <c r="E43" s="97">
        <f t="shared" si="1"/>
        <v>4997.849999999999</v>
      </c>
      <c r="F43" s="97">
        <f t="shared" si="1"/>
        <v>8585.16</v>
      </c>
      <c r="G43" s="97">
        <f t="shared" si="1"/>
        <v>3449.7</v>
      </c>
      <c r="H43" s="97">
        <f t="shared" si="1"/>
        <v>689.94</v>
      </c>
      <c r="I43" s="97">
        <f t="shared" si="1"/>
        <v>2069.82</v>
      </c>
      <c r="J43" s="97">
        <f t="shared" si="1"/>
        <v>2069.82</v>
      </c>
      <c r="K43" s="97">
        <f t="shared" si="1"/>
        <v>0</v>
      </c>
      <c r="L43" s="97">
        <f t="shared" si="1"/>
        <v>96.79</v>
      </c>
      <c r="M43" s="97">
        <f t="shared" si="1"/>
        <v>3000</v>
      </c>
      <c r="N43" s="97">
        <f t="shared" si="1"/>
        <v>121678.86</v>
      </c>
      <c r="O43" s="80">
        <f t="shared" si="1"/>
        <v>322122.5999999999</v>
      </c>
    </row>
    <row r="44" ht="13.5" thickTop="1"/>
    <row r="45" spans="3:14" ht="12.75">
      <c r="C45" s="5"/>
      <c r="N45" s="5"/>
    </row>
    <row r="48" ht="12.75">
      <c r="C48" s="5"/>
    </row>
    <row r="50" ht="12.75">
      <c r="C50" s="93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9" ht="12.75">
      <c r="E59" s="5"/>
    </row>
    <row r="61" ht="12.75">
      <c r="E61" s="5"/>
    </row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43" sqref="A1:O43"/>
    </sheetView>
  </sheetViews>
  <sheetFormatPr defaultColWidth="12.7109375" defaultRowHeight="12.75"/>
  <cols>
    <col min="1" max="1" width="21.00390625" style="0" bestFit="1" customWidth="1"/>
    <col min="2" max="2" width="12.421875" style="0" customWidth="1"/>
    <col min="3" max="3" width="17.28125" style="0" bestFit="1" customWidth="1"/>
    <col min="4" max="4" width="12.00390625" style="0" bestFit="1" customWidth="1"/>
    <col min="5" max="5" width="10.28125" style="0" bestFit="1" customWidth="1"/>
    <col min="6" max="6" width="12.00390625" style="0" customWidth="1"/>
    <col min="7" max="7" width="18.28125" style="0" customWidth="1"/>
    <col min="8" max="8" width="14.8515625" style="0" customWidth="1"/>
    <col min="9" max="9" width="10.57421875" style="0" bestFit="1" customWidth="1"/>
    <col min="10" max="10" width="14.00390625" style="0" customWidth="1"/>
    <col min="11" max="11" width="10.57421875" style="0" customWidth="1"/>
    <col min="12" max="12" width="13.421875" style="0" customWidth="1"/>
    <col min="13" max="13" width="14.140625" style="0" customWidth="1"/>
    <col min="14" max="14" width="11.8515625" style="0" customWidth="1"/>
  </cols>
  <sheetData>
    <row r="1" spans="1:14" ht="18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75</v>
      </c>
      <c r="P2" s="1"/>
      <c r="Q2" s="1"/>
    </row>
    <row r="3" spans="1:15" ht="12.75">
      <c r="A3" s="22" t="s">
        <v>7</v>
      </c>
      <c r="B3" s="23">
        <v>500.59</v>
      </c>
      <c r="C3" s="13">
        <v>1307.82</v>
      </c>
      <c r="D3" s="13"/>
      <c r="E3" s="161">
        <f>261.09+478.39</f>
        <v>739.48</v>
      </c>
      <c r="F3" s="13"/>
      <c r="G3" s="13"/>
      <c r="H3" s="13"/>
      <c r="I3" s="13"/>
      <c r="J3" s="13"/>
      <c r="K3" s="13"/>
      <c r="L3" s="13"/>
      <c r="M3" s="13"/>
      <c r="N3" s="15">
        <f>SUM(B3:M3)</f>
        <v>2547.89</v>
      </c>
      <c r="O3" s="24">
        <f>'Apr 19'!$N3+'Mar 19'!$O3</f>
        <v>12512.269999999999</v>
      </c>
    </row>
    <row r="4" spans="1:15" s="70" customFormat="1" ht="12.75">
      <c r="A4" s="25" t="s">
        <v>8</v>
      </c>
      <c r="B4" s="26">
        <v>441.77</v>
      </c>
      <c r="C4" s="13">
        <v>1307.82</v>
      </c>
      <c r="D4" s="16"/>
      <c r="E4" s="168">
        <f>250.91+304.77</f>
        <v>555.68</v>
      </c>
      <c r="F4" s="16"/>
      <c r="G4" s="16"/>
      <c r="H4" s="16"/>
      <c r="I4" s="16">
        <v>1379.88</v>
      </c>
      <c r="J4" s="16"/>
      <c r="K4" s="16"/>
      <c r="L4" s="16"/>
      <c r="M4" s="16"/>
      <c r="N4" s="15">
        <f aca="true" t="shared" si="0" ref="N4:N42">SUM(B4:M4)</f>
        <v>3685.15</v>
      </c>
      <c r="O4" s="24">
        <f>'Apr 19'!$N4+'Mar 19'!$O4</f>
        <v>18015.07</v>
      </c>
    </row>
    <row r="5" spans="1:15" s="70" customFormat="1" ht="12.75">
      <c r="A5" s="25" t="s">
        <v>100</v>
      </c>
      <c r="B5" s="26">
        <v>441.77</v>
      </c>
      <c r="C5" s="13">
        <v>1307.82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1749.59</v>
      </c>
      <c r="O5" s="24">
        <f>'Apr 19'!$N5+'Mar 19'!$O5</f>
        <v>8925.09</v>
      </c>
    </row>
    <row r="6" spans="1:15" ht="12.75">
      <c r="A6" s="22" t="s">
        <v>11</v>
      </c>
      <c r="B6" s="23">
        <v>441.77</v>
      </c>
      <c r="C6" s="13">
        <v>1307.82</v>
      </c>
      <c r="D6" s="13"/>
      <c r="E6" s="14"/>
      <c r="F6" s="13"/>
      <c r="G6" s="13">
        <v>2299.8</v>
      </c>
      <c r="H6" s="13"/>
      <c r="I6" s="13"/>
      <c r="J6" s="13"/>
      <c r="K6" s="13"/>
      <c r="L6" s="13"/>
      <c r="M6" s="13"/>
      <c r="N6" s="15">
        <f t="shared" si="0"/>
        <v>4049.3900000000003</v>
      </c>
      <c r="O6" s="24">
        <f>'Apr 19'!$N6+'Mar 19'!$O6</f>
        <v>23517.65</v>
      </c>
    </row>
    <row r="7" spans="1:15" ht="12.75">
      <c r="A7" s="25" t="s">
        <v>12</v>
      </c>
      <c r="B7" s="26">
        <v>598.79</v>
      </c>
      <c r="C7" s="13">
        <v>1307.82</v>
      </c>
      <c r="D7" s="16"/>
      <c r="E7" s="17"/>
      <c r="F7" s="16"/>
      <c r="G7" s="16"/>
      <c r="H7" s="16">
        <v>459.96</v>
      </c>
      <c r="I7" s="16"/>
      <c r="J7" s="16"/>
      <c r="K7" s="16"/>
      <c r="L7" s="16"/>
      <c r="M7" s="16"/>
      <c r="N7" s="15">
        <f t="shared" si="0"/>
        <v>2366.5699999999997</v>
      </c>
      <c r="O7" s="24">
        <f>'Apr 19'!$N7+'Mar 19'!$O7</f>
        <v>21159.6</v>
      </c>
    </row>
    <row r="8" spans="1:15" ht="12.75">
      <c r="A8" s="25" t="s">
        <v>84</v>
      </c>
      <c r="B8" s="23">
        <v>441.77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24">
        <f>'Apr 19'!$N8+'Mar 19'!$O8</f>
        <v>7617.27</v>
      </c>
    </row>
    <row r="9" spans="1:15" s="70" customFormat="1" ht="12.75">
      <c r="A9" s="22" t="s">
        <v>83</v>
      </c>
      <c r="B9" s="23">
        <v>441.77</v>
      </c>
      <c r="C9" s="13">
        <v>1307.82</v>
      </c>
      <c r="D9" s="13"/>
      <c r="E9" s="14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2249.59</v>
      </c>
      <c r="O9" s="24">
        <f>'Apr 19'!$N9+'Mar 19'!$O9</f>
        <v>9270.68</v>
      </c>
    </row>
    <row r="10" spans="1:15" s="68" customFormat="1" ht="12.75">
      <c r="A10" s="25" t="s">
        <v>14</v>
      </c>
      <c r="B10" s="26">
        <v>441.77</v>
      </c>
      <c r="C10" s="13">
        <v>1307.82</v>
      </c>
      <c r="D10" s="16"/>
      <c r="E10" s="17"/>
      <c r="F10" s="16"/>
      <c r="G10" s="16"/>
      <c r="H10" s="16"/>
      <c r="I10" s="16"/>
      <c r="J10" s="16"/>
      <c r="K10" s="16"/>
      <c r="L10" s="16"/>
      <c r="M10" s="16">
        <v>500</v>
      </c>
      <c r="N10" s="15">
        <f t="shared" si="0"/>
        <v>2249.59</v>
      </c>
      <c r="O10" s="24">
        <f>'Apr 19'!$N10+'Mar 19'!$O10</f>
        <v>10345.54</v>
      </c>
    </row>
    <row r="11" spans="1:15" s="70" customFormat="1" ht="12.75">
      <c r="A11" s="22" t="s">
        <v>15</v>
      </c>
      <c r="B11" s="23">
        <v>544.65</v>
      </c>
      <c r="C11" s="13">
        <v>1307.82</v>
      </c>
      <c r="D11" s="13"/>
      <c r="E11" s="14">
        <v>345.29</v>
      </c>
      <c r="F11" s="13"/>
      <c r="G11" s="13"/>
      <c r="H11" s="13"/>
      <c r="I11" s="13"/>
      <c r="J11" s="13"/>
      <c r="K11" s="13"/>
      <c r="L11" s="13"/>
      <c r="M11" s="13"/>
      <c r="N11" s="15">
        <f t="shared" si="0"/>
        <v>2197.7599999999998</v>
      </c>
      <c r="O11" s="24">
        <f>'Apr 19'!$N11+'Mar 19'!$O11</f>
        <v>8891.939999999999</v>
      </c>
    </row>
    <row r="12" spans="1:15" ht="12.75">
      <c r="A12" s="25" t="s">
        <v>16</v>
      </c>
      <c r="B12" s="26">
        <v>701.67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2009.4899999999998</v>
      </c>
      <c r="O12" s="24">
        <f>'Apr 19'!$N12+'Mar 19'!$O12</f>
        <v>10462.08</v>
      </c>
    </row>
    <row r="13" spans="1:15" s="70" customFormat="1" ht="12.75">
      <c r="A13" s="22" t="s">
        <v>17</v>
      </c>
      <c r="B13" s="23">
        <v>707.09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2014.9099999999999</v>
      </c>
      <c r="O13" s="24">
        <f>'Apr 19'!$N13+'Mar 19'!$O13</f>
        <v>13901.82</v>
      </c>
    </row>
    <row r="14" spans="1:15" ht="12.75">
      <c r="A14" s="25" t="s">
        <v>18</v>
      </c>
      <c r="B14" s="26">
        <v>441.77</v>
      </c>
      <c r="C14" s="13">
        <v>1307.82</v>
      </c>
      <c r="D14" s="16"/>
      <c r="E14" s="168">
        <v>222.28</v>
      </c>
      <c r="F14" s="16"/>
      <c r="G14" s="16"/>
      <c r="H14" s="16"/>
      <c r="I14" s="16"/>
      <c r="J14" s="16"/>
      <c r="K14" s="16"/>
      <c r="L14" s="16"/>
      <c r="M14" s="16"/>
      <c r="N14" s="15">
        <f t="shared" si="0"/>
        <v>1971.87</v>
      </c>
      <c r="O14" s="24">
        <f>'Apr 19'!$N14+'Mar 19'!$O14</f>
        <v>12001.54</v>
      </c>
    </row>
    <row r="15" spans="1:15" s="70" customFormat="1" ht="12.75">
      <c r="A15" s="22" t="s">
        <v>19</v>
      </c>
      <c r="B15" s="23">
        <v>485.08</v>
      </c>
      <c r="C15" s="13">
        <v>1307.82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1792.8999999999999</v>
      </c>
      <c r="O15" s="24">
        <f>'Apr 19'!$N15+'Mar 19'!$O15</f>
        <v>7893.449999999999</v>
      </c>
    </row>
    <row r="16" spans="1:15" ht="12.75">
      <c r="A16" s="22" t="s">
        <v>93</v>
      </c>
      <c r="B16" s="23">
        <v>441.77</v>
      </c>
      <c r="C16" s="13">
        <v>1307.82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24">
        <f>'Apr 19'!$N16+'Mar 19'!$O16</f>
        <v>7617.27</v>
      </c>
    </row>
    <row r="17" spans="1:15" s="70" customFormat="1" ht="12.75">
      <c r="A17" s="25" t="s">
        <v>20</v>
      </c>
      <c r="B17" s="26">
        <v>441.77</v>
      </c>
      <c r="C17" s="13">
        <v>1307.82</v>
      </c>
      <c r="D17" s="16"/>
      <c r="E17" s="168">
        <v>235.11</v>
      </c>
      <c r="F17" s="16"/>
      <c r="G17" s="16"/>
      <c r="H17" s="16"/>
      <c r="I17" s="16"/>
      <c r="J17" s="16"/>
      <c r="K17" s="16"/>
      <c r="L17" s="16"/>
      <c r="M17" s="16"/>
      <c r="N17" s="15">
        <f t="shared" si="0"/>
        <v>1984.6999999999998</v>
      </c>
      <c r="O17" s="24">
        <f>'Apr 19'!$N17+'Mar 19'!$O17</f>
        <v>8302.21</v>
      </c>
    </row>
    <row r="18" spans="1:15" ht="12.75">
      <c r="A18" s="22" t="s">
        <v>21</v>
      </c>
      <c r="B18" s="23">
        <v>441.77</v>
      </c>
      <c r="C18" s="13">
        <v>1307.82</v>
      </c>
      <c r="D18" s="13"/>
      <c r="E18" s="14"/>
      <c r="F18" s="13"/>
      <c r="G18" s="13"/>
      <c r="H18" s="13"/>
      <c r="I18" s="13"/>
      <c r="J18" s="13"/>
      <c r="K18" s="13"/>
      <c r="L18" s="13"/>
      <c r="M18" s="13">
        <v>500</v>
      </c>
      <c r="N18" s="15">
        <f t="shared" si="0"/>
        <v>2249.59</v>
      </c>
      <c r="O18" s="24">
        <f>'Apr 19'!$N18+'Mar 19'!$O18</f>
        <v>9801.89</v>
      </c>
    </row>
    <row r="19" spans="1:15" s="70" customFormat="1" ht="12.75">
      <c r="A19" s="25" t="s">
        <v>22</v>
      </c>
      <c r="B19" s="26">
        <v>490.5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1798.32</v>
      </c>
      <c r="O19" s="24">
        <f>'Apr 19'!$N19+'Mar 19'!$O19</f>
        <v>7812.19</v>
      </c>
    </row>
    <row r="20" spans="1:15" ht="12.75">
      <c r="A20" s="22" t="s">
        <v>23</v>
      </c>
      <c r="B20" s="23">
        <v>441.77</v>
      </c>
      <c r="C20" s="13">
        <v>1307.82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24">
        <f>'Apr 19'!$N20+'Mar 19'!$O20</f>
        <v>7714.0599999999995</v>
      </c>
    </row>
    <row r="21" spans="1:15" s="70" customFormat="1" ht="12.75">
      <c r="A21" s="25" t="s">
        <v>24</v>
      </c>
      <c r="B21" s="26">
        <v>441.77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">
        <f t="shared" si="0"/>
        <v>1749.59</v>
      </c>
      <c r="O21" s="24">
        <f>'Apr 19'!$N21+'Mar 19'!$O21</f>
        <v>9518.539999999999</v>
      </c>
    </row>
    <row r="22" spans="1:15" ht="12.75">
      <c r="A22" s="22" t="s">
        <v>25</v>
      </c>
      <c r="B22" s="23">
        <v>441.77</v>
      </c>
      <c r="C22" s="13">
        <v>1307.82</v>
      </c>
      <c r="D22" s="13"/>
      <c r="F22" s="13"/>
      <c r="G22" s="13"/>
      <c r="H22" s="13"/>
      <c r="I22" s="13"/>
      <c r="J22" s="13"/>
      <c r="K22" s="13"/>
      <c r="L22" s="13"/>
      <c r="M22" s="13"/>
      <c r="N22" s="15">
        <f t="shared" si="0"/>
        <v>1749.59</v>
      </c>
      <c r="O22" s="24">
        <f>'Apr 19'!$N22+'Mar 19'!$O22</f>
        <v>7802.27</v>
      </c>
    </row>
    <row r="23" spans="1:15" s="70" customFormat="1" ht="12.75">
      <c r="A23" s="25" t="s">
        <v>26</v>
      </c>
      <c r="B23" s="26">
        <v>441.77</v>
      </c>
      <c r="C23" s="13">
        <v>1307.82</v>
      </c>
      <c r="D23" s="16"/>
      <c r="E23" s="161">
        <v>238.69</v>
      </c>
      <c r="F23" s="16"/>
      <c r="G23" s="16"/>
      <c r="H23" s="16"/>
      <c r="I23" s="16"/>
      <c r="J23" s="16"/>
      <c r="K23" s="16"/>
      <c r="L23" s="16"/>
      <c r="M23" s="16"/>
      <c r="N23" s="15">
        <f t="shared" si="0"/>
        <v>1988.28</v>
      </c>
      <c r="O23" s="24">
        <f>'Apr 19'!$N23+'Mar 19'!$O23</f>
        <v>8734.02</v>
      </c>
    </row>
    <row r="24" spans="1:15" ht="12.75">
      <c r="A24" s="22" t="s">
        <v>27</v>
      </c>
      <c r="B24" s="23">
        <v>441.77</v>
      </c>
      <c r="C24" s="13">
        <v>1307.82</v>
      </c>
      <c r="D24" s="13"/>
      <c r="E24" s="17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24">
        <f>'Apr 19'!$N24+'Mar 19'!$O24</f>
        <v>7652.27</v>
      </c>
    </row>
    <row r="25" spans="1:15" s="70" customFormat="1" ht="12.75">
      <c r="A25" s="25" t="s">
        <v>28</v>
      </c>
      <c r="B25" s="26">
        <v>353.96</v>
      </c>
      <c r="C25" s="13">
        <v>1307.82</v>
      </c>
      <c r="D25" s="16"/>
      <c r="E25" s="14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1661.78</v>
      </c>
      <c r="O25" s="24">
        <f>'Apr 19'!$N25+'Mar 19'!$O25</f>
        <v>6886.679999999999</v>
      </c>
    </row>
    <row r="26" spans="1:15" ht="12.75">
      <c r="A26" s="22" t="s">
        <v>29</v>
      </c>
      <c r="B26" s="23">
        <v>522.99</v>
      </c>
      <c r="C26" s="13">
        <v>1307.82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1830.81</v>
      </c>
      <c r="O26" s="24">
        <f>'Apr 19'!$N26+'Mar 19'!$O26</f>
        <v>7942.15</v>
      </c>
    </row>
    <row r="27" spans="1:15" s="70" customFormat="1" ht="12.75">
      <c r="A27" s="22" t="s">
        <v>31</v>
      </c>
      <c r="B27" s="23">
        <v>495.91</v>
      </c>
      <c r="C27" s="13">
        <v>1307.82</v>
      </c>
      <c r="D27" s="13"/>
      <c r="E27" s="14">
        <f>85.1+299.72</f>
        <v>384.82000000000005</v>
      </c>
      <c r="F27" s="13"/>
      <c r="G27" s="13"/>
      <c r="H27" s="13"/>
      <c r="I27" s="13"/>
      <c r="J27" s="13"/>
      <c r="K27" s="13"/>
      <c r="L27" s="13"/>
      <c r="M27" s="13"/>
      <c r="N27" s="15">
        <f t="shared" si="0"/>
        <v>2188.55</v>
      </c>
      <c r="O27" s="24">
        <f>'Apr 19'!$N27+'Mar 19'!$O27</f>
        <v>9888.900000000001</v>
      </c>
    </row>
    <row r="28" spans="1:15" s="68" customFormat="1" ht="12.75">
      <c r="A28" s="25" t="s">
        <v>32</v>
      </c>
      <c r="B28" s="26">
        <v>337.19</v>
      </c>
      <c r="C28" s="13">
        <v>1307.82</v>
      </c>
      <c r="D28" s="16"/>
      <c r="E28" s="14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1645.01</v>
      </c>
      <c r="O28" s="24">
        <f>'Apr 19'!$N28+'Mar 19'!$O28</f>
        <v>6664.15</v>
      </c>
    </row>
    <row r="29" spans="1:15" s="70" customFormat="1" ht="12.75">
      <c r="A29" s="22" t="s">
        <v>33</v>
      </c>
      <c r="B29" s="23">
        <v>38.49</v>
      </c>
      <c r="C29" s="13">
        <v>1307.82</v>
      </c>
      <c r="D29" s="13"/>
      <c r="E29" s="17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1346.31</v>
      </c>
      <c r="O29" s="24">
        <f>'Apr 19'!$N29+'Mar 19'!$O29</f>
        <v>6365.449999999999</v>
      </c>
    </row>
    <row r="30" spans="1:15" s="68" customFormat="1" ht="12.75">
      <c r="A30" s="25" t="s">
        <v>34</v>
      </c>
      <c r="B30" s="26">
        <v>495.91</v>
      </c>
      <c r="C30" s="13">
        <v>1307.82</v>
      </c>
      <c r="D30" s="19"/>
      <c r="E30" s="14"/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2303.73</v>
      </c>
      <c r="O30" s="24">
        <f>'Apr 19'!$N30+'Mar 19'!$O30</f>
        <v>10281.5</v>
      </c>
    </row>
    <row r="31" spans="1:15" s="70" customFormat="1" ht="12.75">
      <c r="A31" s="22" t="s">
        <v>35</v>
      </c>
      <c r="B31" s="23">
        <v>522.99</v>
      </c>
      <c r="C31" s="13">
        <v>1307.82</v>
      </c>
      <c r="D31" s="13"/>
      <c r="E31" s="17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1830.81</v>
      </c>
      <c r="O31" s="24">
        <f>'Apr 19'!$N31+'Mar 19'!$O31</f>
        <v>7780.5</v>
      </c>
    </row>
    <row r="32" spans="1:15" s="68" customFormat="1" ht="12.75">
      <c r="A32" s="25" t="s">
        <v>36</v>
      </c>
      <c r="B32" s="26">
        <v>441.77</v>
      </c>
      <c r="C32" s="13">
        <v>1307.82</v>
      </c>
      <c r="D32" s="16"/>
      <c r="E32" s="161">
        <v>330.33</v>
      </c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2579.92</v>
      </c>
      <c r="O32" s="24">
        <f>'Apr 19'!$N32+'Mar 19'!$O32</f>
        <v>13758.05</v>
      </c>
    </row>
    <row r="33" spans="1:15" s="70" customFormat="1" ht="12.75">
      <c r="A33" s="25" t="s">
        <v>82</v>
      </c>
      <c r="B33" s="23">
        <v>441.77</v>
      </c>
      <c r="C33" s="13">
        <v>1307.82</v>
      </c>
      <c r="D33" s="13"/>
      <c r="E33" s="17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24">
        <f>'Apr 19'!$N33+'Mar 19'!$O33</f>
        <v>7617.27</v>
      </c>
    </row>
    <row r="34" spans="1:15" s="70" customFormat="1" ht="12.75">
      <c r="A34" s="22" t="s">
        <v>39</v>
      </c>
      <c r="B34" s="26">
        <v>593.38</v>
      </c>
      <c r="C34" s="13">
        <v>1307.82</v>
      </c>
      <c r="D34" s="16"/>
      <c r="E34" s="14"/>
      <c r="F34" s="16"/>
      <c r="G34" s="16"/>
      <c r="H34" s="16"/>
      <c r="I34" s="16"/>
      <c r="J34" s="16">
        <v>459.96</v>
      </c>
      <c r="K34" s="16"/>
      <c r="L34" s="16"/>
      <c r="M34" s="16"/>
      <c r="N34" s="15">
        <f t="shared" si="0"/>
        <v>2361.16</v>
      </c>
      <c r="O34" s="24">
        <f>'Apr 19'!$N34+'Mar 19'!$O34</f>
        <v>11481</v>
      </c>
    </row>
    <row r="35" spans="1:15" s="68" customFormat="1" ht="12.75">
      <c r="A35" s="25" t="s">
        <v>40</v>
      </c>
      <c r="B35" s="26">
        <v>636.7</v>
      </c>
      <c r="C35" s="13">
        <v>1307.82</v>
      </c>
      <c r="D35" s="13">
        <v>276.51</v>
      </c>
      <c r="E35" s="168">
        <v>247.1</v>
      </c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2968.1299999999997</v>
      </c>
      <c r="O35" s="24">
        <f>'Apr 19'!$N35+'Mar 19'!$O35</f>
        <v>12746.81</v>
      </c>
    </row>
    <row r="36" spans="1:15" s="70" customFormat="1" ht="12.75">
      <c r="A36" s="22" t="s">
        <v>41</v>
      </c>
      <c r="B36" s="26">
        <v>441.77</v>
      </c>
      <c r="C36" s="13">
        <v>1307.82</v>
      </c>
      <c r="D36" s="16"/>
      <c r="E36" s="106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1749.59</v>
      </c>
      <c r="O36" s="24">
        <f>'Apr 19'!$N36+'Mar 19'!$O36</f>
        <v>7752.64</v>
      </c>
    </row>
    <row r="37" spans="1:15" s="68" customFormat="1" ht="12.75">
      <c r="A37" s="25" t="s">
        <v>42</v>
      </c>
      <c r="B37" s="23">
        <v>663.77</v>
      </c>
      <c r="C37" s="13">
        <v>1307.82</v>
      </c>
      <c r="D37" s="13"/>
      <c r="E37" s="73"/>
      <c r="F37" s="13"/>
      <c r="G37" s="13"/>
      <c r="H37" s="13"/>
      <c r="I37" s="13"/>
      <c r="J37" s="13">
        <v>459.96</v>
      </c>
      <c r="K37" s="13"/>
      <c r="L37" s="13"/>
      <c r="M37" s="13"/>
      <c r="N37" s="15">
        <f t="shared" si="0"/>
        <v>2431.5499999999997</v>
      </c>
      <c r="O37" s="24">
        <f>'Apr 19'!$N37+'Mar 19'!$O37</f>
        <v>14172.029999999999</v>
      </c>
    </row>
    <row r="38" spans="1:15" s="70" customFormat="1" ht="12.75">
      <c r="A38" s="22" t="s">
        <v>43</v>
      </c>
      <c r="B38" s="88">
        <v>512.16</v>
      </c>
      <c r="C38" s="13">
        <v>1307.82</v>
      </c>
      <c r="D38" s="104"/>
      <c r="E38" s="72"/>
      <c r="F38" s="27"/>
      <c r="G38" s="27"/>
      <c r="H38" s="27"/>
      <c r="I38" s="27"/>
      <c r="J38" s="27"/>
      <c r="K38" s="27"/>
      <c r="L38" s="27"/>
      <c r="M38" s="27"/>
      <c r="N38" s="15">
        <f t="shared" si="0"/>
        <v>1819.98</v>
      </c>
      <c r="O38" s="24">
        <f>'Apr 19'!$N38+'Mar 19'!$O38</f>
        <v>7784.51</v>
      </c>
    </row>
    <row r="39" spans="1:15" s="68" customFormat="1" ht="12.75">
      <c r="A39" s="25" t="s">
        <v>44</v>
      </c>
      <c r="B39" s="92">
        <v>441.77</v>
      </c>
      <c r="C39" s="13">
        <v>1307.82</v>
      </c>
      <c r="D39" s="101"/>
      <c r="E39" s="122">
        <v>229.74</v>
      </c>
      <c r="F39" s="105"/>
      <c r="G39" s="73"/>
      <c r="H39" s="73"/>
      <c r="I39" s="73"/>
      <c r="J39" s="73"/>
      <c r="K39" s="73"/>
      <c r="L39" s="73"/>
      <c r="M39" s="73"/>
      <c r="N39" s="15">
        <f t="shared" si="0"/>
        <v>1979.33</v>
      </c>
      <c r="O39" s="24">
        <f>'Apr 19'!$N39+'Mar 19'!$O39</f>
        <v>9717.59</v>
      </c>
    </row>
    <row r="40" spans="1:15" s="70" customFormat="1" ht="12.75">
      <c r="A40" s="22" t="s">
        <v>45</v>
      </c>
      <c r="B40" s="92">
        <v>620.45</v>
      </c>
      <c r="C40" s="13">
        <v>1307.82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1928.27</v>
      </c>
      <c r="O40" s="24">
        <f>'Apr 19'!$N40+'Mar 19'!$O40</f>
        <v>7929.4</v>
      </c>
    </row>
    <row r="41" spans="1:15" s="68" customFormat="1" ht="12.75">
      <c r="A41" s="87" t="s">
        <v>46</v>
      </c>
      <c r="B41" s="92">
        <v>447.18</v>
      </c>
      <c r="C41" s="13">
        <v>1307.82</v>
      </c>
      <c r="D41" s="122">
        <v>536.24</v>
      </c>
      <c r="E41" s="159"/>
      <c r="F41" s="73"/>
      <c r="G41" s="73"/>
      <c r="H41" s="73"/>
      <c r="I41" s="73"/>
      <c r="J41" s="73"/>
      <c r="K41" s="73"/>
      <c r="L41" s="73"/>
      <c r="M41" s="73"/>
      <c r="N41" s="15">
        <f t="shared" si="0"/>
        <v>2291.24</v>
      </c>
      <c r="O41" s="24">
        <f>'Apr 19'!$N41+'Mar 19'!$O41</f>
        <v>8175.15</v>
      </c>
    </row>
    <row r="42" spans="1:15" s="70" customFormat="1" ht="13.5" thickBot="1">
      <c r="A42" s="102" t="s">
        <v>91</v>
      </c>
      <c r="B42" s="103">
        <v>734.16</v>
      </c>
      <c r="C42" s="13">
        <v>1307.82</v>
      </c>
      <c r="D42" s="100"/>
      <c r="F42" s="100"/>
      <c r="G42" s="100"/>
      <c r="H42" s="100"/>
      <c r="I42" s="100"/>
      <c r="J42" s="100">
        <v>459.96</v>
      </c>
      <c r="K42" s="100"/>
      <c r="L42" s="100"/>
      <c r="M42" s="100"/>
      <c r="N42" s="15">
        <f t="shared" si="0"/>
        <v>2501.94</v>
      </c>
      <c r="O42" s="24">
        <f>'Apr 19'!$N42+'Mar 19'!$O42</f>
        <v>10280.93</v>
      </c>
    </row>
    <row r="43" spans="1:15" ht="14.25" thickBot="1" thickTop="1">
      <c r="A43" s="83"/>
      <c r="B43" s="84">
        <f>SUM(B3:B42)</f>
        <v>19397.240000000005</v>
      </c>
      <c r="C43" s="85">
        <f>SUM(C3:C42)</f>
        <v>52312.799999999996</v>
      </c>
      <c r="D43" s="85">
        <f>SUM(D3:D42)</f>
        <v>812.75</v>
      </c>
      <c r="E43" s="86">
        <f>SUM(E3:E41)</f>
        <v>3528.5199999999995</v>
      </c>
      <c r="F43" s="86">
        <f>SUM(F3:F41)</f>
        <v>0</v>
      </c>
      <c r="G43" s="85">
        <f>SUM(G3:G42)</f>
        <v>2299.8</v>
      </c>
      <c r="H43" s="85">
        <f>SUM(H3:H42)</f>
        <v>459.96</v>
      </c>
      <c r="I43" s="85">
        <f>SUM(I3:I42)</f>
        <v>1379.88</v>
      </c>
      <c r="J43" s="85">
        <f>SUM(J3:J42)</f>
        <v>1379.8799999999999</v>
      </c>
      <c r="K43" s="85"/>
      <c r="L43" s="85">
        <f>SUM(L4:L42)</f>
        <v>0</v>
      </c>
      <c r="M43" s="85">
        <f>SUM(M3:M42)</f>
        <v>3000</v>
      </c>
      <c r="N43" s="85">
        <f>SUM(N3:N42)</f>
        <v>84570.82999999999</v>
      </c>
      <c r="O43" s="85">
        <f>SUM(O3:O42)</f>
        <v>406693.43000000005</v>
      </c>
    </row>
    <row r="44" ht="13.5" thickTop="1"/>
    <row r="45" ht="12.75">
      <c r="B45" s="124"/>
    </row>
    <row r="46" ht="12.75">
      <c r="B46" s="124"/>
    </row>
    <row r="47" ht="12.75">
      <c r="B47" s="124"/>
    </row>
    <row r="48" ht="12.75">
      <c r="B48" s="124"/>
    </row>
    <row r="49" ht="12.75">
      <c r="B49" s="5"/>
    </row>
    <row r="50" ht="12.75">
      <c r="B50" s="124"/>
    </row>
    <row r="51" ht="12.75">
      <c r="B51" s="5"/>
    </row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0" fitToWidth="1" horizontalDpi="600" verticalDpi="600" orientation="landscape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43" sqref="A1:O43"/>
    </sheetView>
  </sheetViews>
  <sheetFormatPr defaultColWidth="12.7109375" defaultRowHeight="12.75"/>
  <cols>
    <col min="1" max="1" width="18.8515625" style="0" bestFit="1" customWidth="1"/>
    <col min="2" max="2" width="12.28125" style="0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9.8515625" style="0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2.00390625" style="0" customWidth="1"/>
  </cols>
  <sheetData>
    <row r="1" spans="1:14" ht="18">
      <c r="A1" s="186" t="s">
        <v>106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64.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2" t="s">
        <v>54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76</v>
      </c>
      <c r="P2" s="1"/>
      <c r="Q2" s="1"/>
    </row>
    <row r="3" spans="1:15" ht="12.75">
      <c r="A3" s="22" t="s">
        <v>7</v>
      </c>
      <c r="B3" s="122">
        <v>332.87</v>
      </c>
      <c r="C3" s="13">
        <v>1307.82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42">SUM(B3:M3)</f>
        <v>1640.69</v>
      </c>
      <c r="O3" s="24">
        <f>'May 19'!$N3+'Apr 19'!$O3</f>
        <v>14152.96</v>
      </c>
    </row>
    <row r="4" spans="1:15" s="70" customFormat="1" ht="12.75">
      <c r="A4" s="25" t="s">
        <v>8</v>
      </c>
      <c r="B4" s="122">
        <v>441.77</v>
      </c>
      <c r="C4" s="13">
        <v>1307.82</v>
      </c>
      <c r="D4" s="16"/>
      <c r="E4" s="17"/>
      <c r="F4" s="16"/>
      <c r="G4" s="16"/>
      <c r="H4" s="16"/>
      <c r="I4" s="16">
        <v>1379.88</v>
      </c>
      <c r="J4" s="16"/>
      <c r="K4" s="16"/>
      <c r="L4" s="16"/>
      <c r="M4" s="16"/>
      <c r="N4" s="15">
        <f t="shared" si="0"/>
        <v>3129.4700000000003</v>
      </c>
      <c r="O4" s="24">
        <f>'May 19'!$N4+'Apr 19'!$O4</f>
        <v>21144.54</v>
      </c>
    </row>
    <row r="5" spans="1:15" s="70" customFormat="1" ht="12.75">
      <c r="A5" s="25" t="s">
        <v>100</v>
      </c>
      <c r="B5" s="122">
        <v>0</v>
      </c>
      <c r="C5" s="13">
        <v>1307.82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1307.82</v>
      </c>
      <c r="O5" s="24">
        <f>'May 19'!$N5+'Apr 19'!$O5</f>
        <v>10232.91</v>
      </c>
    </row>
    <row r="6" spans="1:15" ht="12.75">
      <c r="A6" s="22" t="s">
        <v>11</v>
      </c>
      <c r="B6" s="122">
        <v>441.77</v>
      </c>
      <c r="C6" s="13">
        <v>1307.82</v>
      </c>
      <c r="D6" s="13"/>
      <c r="E6" s="14"/>
      <c r="F6" s="13"/>
      <c r="G6" s="13">
        <v>2299.8</v>
      </c>
      <c r="H6" s="13"/>
      <c r="I6" s="13"/>
      <c r="J6" s="13"/>
      <c r="K6" s="13"/>
      <c r="L6" s="13"/>
      <c r="M6" s="13"/>
      <c r="N6" s="15">
        <f t="shared" si="0"/>
        <v>4049.3900000000003</v>
      </c>
      <c r="O6" s="24">
        <f>'May 19'!$N6+'Apr 19'!$O6</f>
        <v>27567.04</v>
      </c>
    </row>
    <row r="7" spans="1:15" ht="12.75">
      <c r="A7" s="25" t="s">
        <v>12</v>
      </c>
      <c r="B7" s="122">
        <v>471.52</v>
      </c>
      <c r="C7" s="13">
        <v>1307.82</v>
      </c>
      <c r="D7" s="16"/>
      <c r="E7" s="17"/>
      <c r="F7" s="16"/>
      <c r="G7" s="16"/>
      <c r="H7" s="16">
        <v>459.96</v>
      </c>
      <c r="I7" s="16"/>
      <c r="J7" s="16"/>
      <c r="K7" s="16"/>
      <c r="L7" s="16"/>
      <c r="M7" s="16"/>
      <c r="N7" s="15">
        <f t="shared" si="0"/>
        <v>2239.2999999999997</v>
      </c>
      <c r="O7" s="24">
        <f>'May 19'!$N7+'Apr 19'!$O7</f>
        <v>23398.899999999998</v>
      </c>
    </row>
    <row r="8" spans="1:15" s="71" customFormat="1" ht="12.75">
      <c r="A8" s="25" t="s">
        <v>84</v>
      </c>
      <c r="B8" s="122">
        <v>441.77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1749.59</v>
      </c>
      <c r="O8" s="24">
        <f>'May 19'!$N8+'Apr 19'!$O8</f>
        <v>9366.86</v>
      </c>
    </row>
    <row r="9" spans="1:15" s="70" customFormat="1" ht="12.75">
      <c r="A9" s="22" t="s">
        <v>83</v>
      </c>
      <c r="B9" s="122">
        <v>0</v>
      </c>
      <c r="C9" s="13">
        <v>1307.82</v>
      </c>
      <c r="D9" s="13"/>
      <c r="E9" s="14"/>
      <c r="F9" s="13"/>
      <c r="G9" s="13"/>
      <c r="H9" s="13"/>
      <c r="I9" s="13"/>
      <c r="J9" s="13"/>
      <c r="K9" s="13"/>
      <c r="L9" s="13"/>
      <c r="M9" s="13">
        <v>500</v>
      </c>
      <c r="N9" s="15">
        <f t="shared" si="0"/>
        <v>1807.82</v>
      </c>
      <c r="O9" s="24">
        <f>'May 19'!$N9+'Apr 19'!$O9</f>
        <v>11078.5</v>
      </c>
    </row>
    <row r="10" spans="1:15" s="71" customFormat="1" ht="12.75">
      <c r="A10" s="25" t="s">
        <v>14</v>
      </c>
      <c r="B10" s="122">
        <v>364.75</v>
      </c>
      <c r="C10" s="13">
        <v>1307.82</v>
      </c>
      <c r="D10" s="16"/>
      <c r="E10" s="17">
        <v>98.43</v>
      </c>
      <c r="F10" s="16"/>
      <c r="G10" s="16"/>
      <c r="H10" s="16"/>
      <c r="I10" s="16"/>
      <c r="J10" s="16"/>
      <c r="K10" s="16"/>
      <c r="L10" s="16"/>
      <c r="M10" s="16">
        <v>500</v>
      </c>
      <c r="N10" s="15">
        <f t="shared" si="0"/>
        <v>2271</v>
      </c>
      <c r="O10" s="24">
        <f>'May 19'!$N10+'Apr 19'!$O10</f>
        <v>12616.54</v>
      </c>
    </row>
    <row r="11" spans="1:15" s="70" customFormat="1" ht="12.75">
      <c r="A11" s="22" t="s">
        <v>15</v>
      </c>
      <c r="B11" s="122">
        <v>544.65</v>
      </c>
      <c r="C11" s="13">
        <v>1307.82</v>
      </c>
      <c r="D11" s="13"/>
      <c r="F11" s="13"/>
      <c r="G11" s="13"/>
      <c r="H11" s="13"/>
      <c r="I11" s="13"/>
      <c r="J11" s="13"/>
      <c r="K11" s="13"/>
      <c r="L11" s="13"/>
      <c r="M11" s="13"/>
      <c r="N11" s="15">
        <f t="shared" si="0"/>
        <v>1852.4699999999998</v>
      </c>
      <c r="O11" s="24">
        <f>'May 19'!$N11+'Apr 19'!$O11</f>
        <v>10744.409999999998</v>
      </c>
    </row>
    <row r="12" spans="1:15" s="71" customFormat="1" ht="12.75">
      <c r="A12" s="25" t="s">
        <v>16</v>
      </c>
      <c r="B12" s="122">
        <v>501.44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1809.26</v>
      </c>
      <c r="O12" s="24">
        <f>'May 19'!$N12+'Apr 19'!$O12</f>
        <v>12271.34</v>
      </c>
    </row>
    <row r="13" spans="1:15" s="70" customFormat="1" ht="12.75">
      <c r="A13" s="22" t="s">
        <v>17</v>
      </c>
      <c r="B13" s="122">
        <v>707.09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2014.9099999999999</v>
      </c>
      <c r="O13" s="24">
        <f>'May 19'!$N13+'Apr 19'!$O13</f>
        <v>15916.73</v>
      </c>
    </row>
    <row r="14" spans="1:15" ht="12.75">
      <c r="A14" s="25" t="s">
        <v>18</v>
      </c>
      <c r="B14" s="122">
        <v>441.77</v>
      </c>
      <c r="C14" s="13">
        <v>1307.82</v>
      </c>
      <c r="D14" s="16">
        <v>312.93</v>
      </c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2062.52</v>
      </c>
      <c r="O14" s="24">
        <f>'May 19'!$N14+'Apr 19'!$O14</f>
        <v>14064.060000000001</v>
      </c>
    </row>
    <row r="15" spans="1:15" s="70" customFormat="1" ht="12.75">
      <c r="A15" s="22" t="s">
        <v>19</v>
      </c>
      <c r="B15" s="122">
        <v>485.08</v>
      </c>
      <c r="C15" s="13">
        <v>1307.82</v>
      </c>
      <c r="D15" s="13"/>
      <c r="E15" s="14">
        <v>63.94</v>
      </c>
      <c r="F15" s="13"/>
      <c r="G15" s="13"/>
      <c r="H15" s="13"/>
      <c r="I15" s="13"/>
      <c r="J15" s="13"/>
      <c r="K15" s="13"/>
      <c r="L15" s="13">
        <v>68.27</v>
      </c>
      <c r="M15" s="13"/>
      <c r="N15" s="15">
        <f t="shared" si="0"/>
        <v>1925.11</v>
      </c>
      <c r="O15" s="24">
        <f>'May 19'!$N15+'Apr 19'!$O15</f>
        <v>9818.56</v>
      </c>
    </row>
    <row r="16" spans="1:15" ht="12.75">
      <c r="A16" s="22" t="s">
        <v>93</v>
      </c>
      <c r="B16" s="122">
        <v>441.77</v>
      </c>
      <c r="C16" s="13">
        <v>1307.82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1749.59</v>
      </c>
      <c r="O16" s="24">
        <f>'May 19'!$N16+'Apr 19'!$O16</f>
        <v>9366.86</v>
      </c>
    </row>
    <row r="17" spans="1:15" s="70" customFormat="1" ht="12.75">
      <c r="A17" s="25" t="s">
        <v>20</v>
      </c>
      <c r="B17" s="122">
        <v>345.5</v>
      </c>
      <c r="C17" s="13">
        <v>1307.82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1653.32</v>
      </c>
      <c r="O17" s="24">
        <f>'May 19'!$N17+'Apr 19'!$O17</f>
        <v>9955.529999999999</v>
      </c>
    </row>
    <row r="18" spans="1:15" s="71" customFormat="1" ht="12.75">
      <c r="A18" s="22" t="s">
        <v>21</v>
      </c>
      <c r="B18" s="122">
        <v>441.77</v>
      </c>
      <c r="C18" s="13">
        <v>1307.82</v>
      </c>
      <c r="D18" s="13"/>
      <c r="E18" s="14"/>
      <c r="F18" s="13"/>
      <c r="G18" s="13"/>
      <c r="H18" s="16"/>
      <c r="I18" s="13"/>
      <c r="J18" s="13"/>
      <c r="K18" s="13"/>
      <c r="L18" s="13"/>
      <c r="M18" s="13">
        <v>500</v>
      </c>
      <c r="N18" s="15">
        <f t="shared" si="0"/>
        <v>2249.59</v>
      </c>
      <c r="O18" s="24">
        <f>'May 19'!$N18+'Apr 19'!$O18</f>
        <v>12051.48</v>
      </c>
    </row>
    <row r="19" spans="1:15" s="70" customFormat="1" ht="12.75">
      <c r="A19" s="25" t="s">
        <v>22</v>
      </c>
      <c r="B19" s="122">
        <v>490.5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1798.32</v>
      </c>
      <c r="O19" s="24">
        <f>'May 19'!$N19+'Apr 19'!$O19</f>
        <v>9610.51</v>
      </c>
    </row>
    <row r="20" spans="1:15" ht="12.75">
      <c r="A20" s="22" t="s">
        <v>23</v>
      </c>
      <c r="B20" s="122">
        <v>441.77</v>
      </c>
      <c r="C20" s="13">
        <v>1307.82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1749.59</v>
      </c>
      <c r="O20" s="24">
        <f>'May 19'!$N20+'Apr 19'!$O20</f>
        <v>9463.65</v>
      </c>
    </row>
    <row r="21" spans="1:15" s="70" customFormat="1" ht="12.75">
      <c r="A21" s="25" t="s">
        <v>24</v>
      </c>
      <c r="B21" s="122">
        <v>441.77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">
        <f t="shared" si="0"/>
        <v>1749.59</v>
      </c>
      <c r="O21" s="24">
        <f>'May 19'!$N21+'Apr 19'!$O21</f>
        <v>11268.13</v>
      </c>
    </row>
    <row r="22" spans="1:15" ht="12.75">
      <c r="A22" s="22" t="s">
        <v>25</v>
      </c>
      <c r="B22" s="122">
        <v>441.77</v>
      </c>
      <c r="C22" s="13">
        <v>1307.82</v>
      </c>
      <c r="D22" s="13"/>
      <c r="E22" s="14"/>
      <c r="F22" s="13"/>
      <c r="G22" s="13"/>
      <c r="H22" s="13"/>
      <c r="I22" s="13"/>
      <c r="J22" s="13"/>
      <c r="K22" s="13">
        <v>100</v>
      </c>
      <c r="L22" s="13">
        <v>217.55</v>
      </c>
      <c r="M22" s="13"/>
      <c r="N22" s="15">
        <f t="shared" si="0"/>
        <v>2067.14</v>
      </c>
      <c r="O22" s="24">
        <f>'May 19'!$N22+'Apr 19'!$O22</f>
        <v>9869.41</v>
      </c>
    </row>
    <row r="23" spans="1:15" s="70" customFormat="1" ht="12.75">
      <c r="A23" s="25" t="s">
        <v>26</v>
      </c>
      <c r="B23" s="122">
        <v>441.77</v>
      </c>
      <c r="C23" s="13">
        <v>1307.82</v>
      </c>
      <c r="D23" s="16">
        <v>312.46</v>
      </c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2062.0499999999997</v>
      </c>
      <c r="O23" s="24">
        <f>'May 19'!$N23+'Apr 19'!$O23</f>
        <v>10796.07</v>
      </c>
    </row>
    <row r="24" spans="1:15" ht="12.75">
      <c r="A24" s="22" t="s">
        <v>27</v>
      </c>
      <c r="B24" s="122">
        <v>441.77</v>
      </c>
      <c r="C24" s="13">
        <v>1307.82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1749.59</v>
      </c>
      <c r="O24" s="24">
        <f>'May 19'!$N24+'Apr 19'!$O24</f>
        <v>9401.86</v>
      </c>
    </row>
    <row r="25" spans="1:15" s="70" customFormat="1" ht="12.75">
      <c r="A25" s="25" t="s">
        <v>28</v>
      </c>
      <c r="B25" s="122">
        <v>236.8</v>
      </c>
      <c r="C25" s="13">
        <v>1307.82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1544.62</v>
      </c>
      <c r="O25" s="24">
        <f>'May 19'!$N25+'Apr 19'!$O25</f>
        <v>8431.3</v>
      </c>
    </row>
    <row r="26" spans="1:15" ht="12.75">
      <c r="A26" s="22" t="s">
        <v>29</v>
      </c>
      <c r="B26" s="122">
        <v>201.08</v>
      </c>
      <c r="C26" s="13">
        <v>1307.82</v>
      </c>
      <c r="D26" s="13"/>
      <c r="E26" s="14"/>
      <c r="F26" s="13"/>
      <c r="G26" s="13"/>
      <c r="H26" s="13"/>
      <c r="I26" s="13"/>
      <c r="J26" s="16"/>
      <c r="K26" s="13"/>
      <c r="L26" s="13"/>
      <c r="M26" s="13"/>
      <c r="N26" s="15">
        <f t="shared" si="0"/>
        <v>1508.8999999999999</v>
      </c>
      <c r="O26" s="24">
        <f>'May 19'!$N26+'Apr 19'!$O26</f>
        <v>9451.05</v>
      </c>
    </row>
    <row r="27" spans="1:15" s="70" customFormat="1" ht="12.75">
      <c r="A27" s="22" t="s">
        <v>31</v>
      </c>
      <c r="B27" s="122">
        <v>495.91</v>
      </c>
      <c r="C27" s="13">
        <v>1307.82</v>
      </c>
      <c r="D27" s="13"/>
      <c r="F27" s="13"/>
      <c r="G27" s="13"/>
      <c r="H27" s="13"/>
      <c r="I27" s="13"/>
      <c r="J27" s="13"/>
      <c r="K27" s="13"/>
      <c r="L27" s="13"/>
      <c r="M27" s="13"/>
      <c r="N27" s="15">
        <f t="shared" si="0"/>
        <v>1803.73</v>
      </c>
      <c r="O27" s="24">
        <f>'May 19'!$N27+'Apr 19'!$O27</f>
        <v>11692.630000000001</v>
      </c>
    </row>
    <row r="28" spans="1:15" ht="12.75">
      <c r="A28" s="25" t="s">
        <v>32</v>
      </c>
      <c r="B28" s="122">
        <v>364.75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1672.57</v>
      </c>
      <c r="O28" s="24">
        <f>'May 19'!$N28+'Apr 19'!$O28</f>
        <v>8336.72</v>
      </c>
    </row>
    <row r="29" spans="1:15" ht="12.75">
      <c r="A29" s="22" t="s">
        <v>33</v>
      </c>
      <c r="B29" s="122">
        <v>124.06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1431.8799999999999</v>
      </c>
      <c r="O29" s="24">
        <f>'May 19'!$N29+'Apr 19'!$O29</f>
        <v>7797.329999999999</v>
      </c>
    </row>
    <row r="30" spans="1:15" ht="12.75">
      <c r="A30" s="25" t="s">
        <v>34</v>
      </c>
      <c r="B30" s="122">
        <v>495.91</v>
      </c>
      <c r="C30" s="13">
        <v>1307.82</v>
      </c>
      <c r="D30" s="19"/>
      <c r="E30" s="17"/>
      <c r="F30" s="20"/>
      <c r="G30" s="20"/>
      <c r="H30" s="16"/>
      <c r="I30" s="16"/>
      <c r="J30" s="16"/>
      <c r="K30" s="16"/>
      <c r="L30" s="20"/>
      <c r="M30" s="19">
        <v>500</v>
      </c>
      <c r="N30" s="15">
        <f t="shared" si="0"/>
        <v>2303.73</v>
      </c>
      <c r="O30" s="24">
        <f>'May 19'!$N30+'Apr 19'!$O30</f>
        <v>12585.23</v>
      </c>
    </row>
    <row r="31" spans="1:15" s="70" customFormat="1" ht="12.75">
      <c r="A31" s="22" t="s">
        <v>35</v>
      </c>
      <c r="B31" s="122">
        <v>316.97</v>
      </c>
      <c r="C31" s="13">
        <v>1307.82</v>
      </c>
      <c r="D31" s="13"/>
      <c r="E31" s="14"/>
      <c r="F31" s="13"/>
      <c r="G31" s="13"/>
      <c r="H31" s="13"/>
      <c r="I31" s="13"/>
      <c r="J31" s="16"/>
      <c r="K31" s="13"/>
      <c r="L31" s="13"/>
      <c r="M31" s="13"/>
      <c r="N31" s="15">
        <f t="shared" si="0"/>
        <v>1624.79</v>
      </c>
      <c r="O31" s="24">
        <f>'May 19'!$N31+'Apr 19'!$O31</f>
        <v>9405.29</v>
      </c>
    </row>
    <row r="32" spans="1:15" ht="12.75">
      <c r="A32" s="25" t="s">
        <v>36</v>
      </c>
      <c r="B32" s="122">
        <v>441.77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2249.59</v>
      </c>
      <c r="O32" s="24">
        <f>'May 19'!$N32+'Apr 19'!$O32</f>
        <v>16007.64</v>
      </c>
    </row>
    <row r="33" spans="1:15" s="70" customFormat="1" ht="12.75">
      <c r="A33" s="25" t="s">
        <v>82</v>
      </c>
      <c r="B33" s="122">
        <v>441.77</v>
      </c>
      <c r="C33" s="13">
        <v>1307.82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1749.59</v>
      </c>
      <c r="O33" s="24">
        <f>'May 19'!$N33+'Apr 19'!$O33</f>
        <v>9366.86</v>
      </c>
    </row>
    <row r="34" spans="1:15" s="70" customFormat="1" ht="12.75">
      <c r="A34" s="22" t="s">
        <v>39</v>
      </c>
      <c r="B34" s="122">
        <v>185.39</v>
      </c>
      <c r="C34" s="13">
        <v>1307.82</v>
      </c>
      <c r="D34" s="16"/>
      <c r="E34" s="17"/>
      <c r="F34" s="16"/>
      <c r="G34" s="16"/>
      <c r="H34" s="16"/>
      <c r="I34" s="16"/>
      <c r="J34" s="16">
        <v>459.96</v>
      </c>
      <c r="K34" s="16"/>
      <c r="L34" s="16"/>
      <c r="M34" s="16"/>
      <c r="N34" s="15">
        <f t="shared" si="0"/>
        <v>1953.17</v>
      </c>
      <c r="O34" s="24">
        <f>'May 19'!$N34+'Apr 19'!$O34</f>
        <v>13434.17</v>
      </c>
    </row>
    <row r="35" spans="1:15" s="68" customFormat="1" ht="12.75">
      <c r="A35" s="25" t="s">
        <v>40</v>
      </c>
      <c r="B35" s="122">
        <v>636.7</v>
      </c>
      <c r="C35" s="13">
        <v>1307.82</v>
      </c>
      <c r="E35" s="14"/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2444.52</v>
      </c>
      <c r="O35" s="24">
        <f>'May 19'!$N35+'Apr 19'!$O35</f>
        <v>15191.33</v>
      </c>
    </row>
    <row r="36" spans="1:15" s="70" customFormat="1" ht="12.75">
      <c r="A36" s="22" t="s">
        <v>41</v>
      </c>
      <c r="B36" s="122">
        <v>441.77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1749.59</v>
      </c>
      <c r="O36" s="24">
        <f>'May 19'!$N36+'Apr 19'!$O36</f>
        <v>9502.23</v>
      </c>
    </row>
    <row r="37" spans="1:15" s="68" customFormat="1" ht="12.75">
      <c r="A37" s="25" t="s">
        <v>42</v>
      </c>
      <c r="B37" s="122">
        <v>663.77</v>
      </c>
      <c r="C37" s="13">
        <v>1307.82</v>
      </c>
      <c r="D37" s="13"/>
      <c r="E37" s="106"/>
      <c r="F37" s="13"/>
      <c r="G37" s="13"/>
      <c r="H37" s="13"/>
      <c r="I37" s="13"/>
      <c r="J37" s="13">
        <v>459.96</v>
      </c>
      <c r="K37" s="13"/>
      <c r="L37" s="13"/>
      <c r="M37" s="13"/>
      <c r="N37" s="15">
        <f t="shared" si="0"/>
        <v>2431.5499999999997</v>
      </c>
      <c r="O37" s="24">
        <f>'May 19'!$N37+'Apr 19'!$O37</f>
        <v>16603.579999999998</v>
      </c>
    </row>
    <row r="38" spans="1:15" s="70" customFormat="1" ht="12.75">
      <c r="A38" s="22" t="s">
        <v>43</v>
      </c>
      <c r="B38" s="122">
        <v>512.16</v>
      </c>
      <c r="C38" s="13">
        <v>1307.82</v>
      </c>
      <c r="D38" s="104"/>
      <c r="E38" s="73"/>
      <c r="F38" s="27"/>
      <c r="G38" s="27"/>
      <c r="H38" s="27"/>
      <c r="I38" s="27"/>
      <c r="J38" s="27"/>
      <c r="K38" s="27"/>
      <c r="L38" s="27"/>
      <c r="M38" s="27"/>
      <c r="N38" s="15">
        <f t="shared" si="0"/>
        <v>1819.98</v>
      </c>
      <c r="O38" s="24">
        <f>'May 19'!$N38+'Apr 19'!$O38</f>
        <v>9604.49</v>
      </c>
    </row>
    <row r="39" spans="1:15" s="68" customFormat="1" ht="12.75">
      <c r="A39" s="25" t="s">
        <v>44</v>
      </c>
      <c r="B39" s="122">
        <v>441.77</v>
      </c>
      <c r="C39" s="13">
        <v>1307.82</v>
      </c>
      <c r="D39" s="101"/>
      <c r="E39" s="72"/>
      <c r="F39" s="105"/>
      <c r="G39" s="73"/>
      <c r="H39" s="73"/>
      <c r="I39" s="73"/>
      <c r="J39" s="73"/>
      <c r="K39" s="73"/>
      <c r="L39" s="73"/>
      <c r="M39" s="73"/>
      <c r="N39" s="15">
        <f t="shared" si="0"/>
        <v>1749.59</v>
      </c>
      <c r="O39" s="24">
        <f>'May 19'!$N39+'Apr 19'!$O39</f>
        <v>11467.18</v>
      </c>
    </row>
    <row r="40" spans="1:15" s="74" customFormat="1" ht="12.75">
      <c r="A40" s="22" t="s">
        <v>45</v>
      </c>
      <c r="B40" s="122">
        <v>201.08</v>
      </c>
      <c r="C40" s="13">
        <v>1307.82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1508.8999999999999</v>
      </c>
      <c r="O40" s="24">
        <f>'May 19'!$N40+'Apr 19'!$O40</f>
        <v>9438.3</v>
      </c>
    </row>
    <row r="41" spans="1:15" s="75" customFormat="1" ht="13.5" thickBot="1">
      <c r="A41" s="87" t="s">
        <v>46</v>
      </c>
      <c r="B41" s="123">
        <v>447.18</v>
      </c>
      <c r="C41" s="13">
        <v>1307.82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1755</v>
      </c>
      <c r="O41" s="24">
        <f>'May 19'!$N41+'Apr 19'!$O41</f>
        <v>9930.15</v>
      </c>
    </row>
    <row r="42" spans="1:15" s="74" customFormat="1" ht="13.5" thickTop="1">
      <c r="A42" s="102" t="s">
        <v>91</v>
      </c>
      <c r="B42" s="74">
        <v>734.16</v>
      </c>
      <c r="C42" s="13">
        <v>1307.82</v>
      </c>
      <c r="D42" s="100"/>
      <c r="E42" s="100"/>
      <c r="F42" s="100"/>
      <c r="G42" s="100"/>
      <c r="H42" s="100"/>
      <c r="I42" s="100"/>
      <c r="J42" s="100">
        <v>459.96</v>
      </c>
      <c r="K42" s="100"/>
      <c r="L42" s="100"/>
      <c r="M42" s="100"/>
      <c r="N42" s="15">
        <f t="shared" si="0"/>
        <v>2501.94</v>
      </c>
      <c r="O42" s="24">
        <f>'May 19'!$N42+'Apr 19'!$O42</f>
        <v>12782.87</v>
      </c>
    </row>
    <row r="43" spans="1:15" s="73" customFormat="1" ht="13.5" thickBot="1">
      <c r="A43" s="76"/>
      <c r="B43" s="77">
        <f aca="true" t="shared" si="1" ref="B43:O43">SUM(B3:B42)</f>
        <v>16485.870000000003</v>
      </c>
      <c r="C43" s="77">
        <f t="shared" si="1"/>
        <v>52312.799999999996</v>
      </c>
      <c r="D43" s="78">
        <f t="shared" si="1"/>
        <v>625.39</v>
      </c>
      <c r="E43" s="79">
        <f t="shared" si="1"/>
        <v>162.37</v>
      </c>
      <c r="F43" s="78">
        <f t="shared" si="1"/>
        <v>0</v>
      </c>
      <c r="G43" s="78">
        <f t="shared" si="1"/>
        <v>2299.8</v>
      </c>
      <c r="H43" s="78">
        <f t="shared" si="1"/>
        <v>459.96</v>
      </c>
      <c r="I43" s="78">
        <f t="shared" si="1"/>
        <v>1379.88</v>
      </c>
      <c r="J43" s="78">
        <f t="shared" si="1"/>
        <v>1379.8799999999999</v>
      </c>
      <c r="K43" s="78">
        <f t="shared" si="1"/>
        <v>100</v>
      </c>
      <c r="L43" s="78">
        <f t="shared" si="1"/>
        <v>285.82</v>
      </c>
      <c r="M43" s="78">
        <f t="shared" si="1"/>
        <v>3000</v>
      </c>
      <c r="N43" s="78">
        <f t="shared" si="1"/>
        <v>78491.76999999999</v>
      </c>
      <c r="O43" s="78">
        <f t="shared" si="1"/>
        <v>485185.19999999995</v>
      </c>
    </row>
    <row r="45" ht="12.75">
      <c r="C45" s="5"/>
    </row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0" fitToWidth="1" horizontalDpi="600" verticalDpi="600" orientation="landscape" paperSize="9" scale="6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34">
      <pane xSplit="1" topLeftCell="B1" activePane="topRight" state="frozen"/>
      <selection pane="topLeft" activeCell="A9" sqref="A9"/>
      <selection pane="topRight" activeCell="O61" sqref="A1:O61"/>
    </sheetView>
  </sheetViews>
  <sheetFormatPr defaultColWidth="12.7109375" defaultRowHeight="12.75"/>
  <cols>
    <col min="1" max="1" width="18.8515625" style="0" bestFit="1" customWidth="1"/>
    <col min="2" max="2" width="10.421875" style="0" customWidth="1"/>
    <col min="3" max="3" width="18.00390625" style="0" customWidth="1"/>
    <col min="4" max="4" width="11.421875" style="0" bestFit="1" customWidth="1"/>
    <col min="5" max="5" width="9.7109375" style="0" bestFit="1" customWidth="1"/>
    <col min="6" max="6" width="8.00390625" style="0" bestFit="1" customWidth="1"/>
    <col min="7" max="7" width="13.00390625" style="0" bestFit="1" customWidth="1"/>
    <col min="8" max="8" width="12.140625" style="0" bestFit="1" customWidth="1"/>
    <col min="9" max="10" width="10.7109375" style="0" bestFit="1" customWidth="1"/>
    <col min="11" max="11" width="10.7109375" style="0" customWidth="1"/>
    <col min="12" max="12" width="10.57421875" style="0" bestFit="1" customWidth="1"/>
    <col min="13" max="13" width="10.7109375" style="0" bestFit="1" customWidth="1"/>
    <col min="14" max="14" width="12.57421875" style="0" bestFit="1" customWidth="1"/>
  </cols>
  <sheetData>
    <row r="1" spans="1:14" ht="18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0" t="s">
        <v>80</v>
      </c>
      <c r="H2" s="12" t="s">
        <v>90</v>
      </c>
      <c r="I2" s="10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77</v>
      </c>
      <c r="P2" s="1"/>
      <c r="Q2" s="1"/>
    </row>
    <row r="3" spans="1:15" ht="12.75">
      <c r="A3" s="22" t="s">
        <v>7</v>
      </c>
      <c r="B3" s="173">
        <v>0</v>
      </c>
      <c r="C3" s="13">
        <v>326.95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326.95</v>
      </c>
      <c r="O3" s="24">
        <f>'Jun 19'!$N3+'May 19'!$O3</f>
        <v>14479.91</v>
      </c>
    </row>
    <row r="4" spans="1:15" ht="12.75">
      <c r="A4" s="25" t="s">
        <v>8</v>
      </c>
      <c r="B4" s="172">
        <v>429.21</v>
      </c>
      <c r="C4" s="13">
        <v>1307.82</v>
      </c>
      <c r="D4" s="16"/>
      <c r="E4" s="17"/>
      <c r="F4" s="16"/>
      <c r="G4" s="16"/>
      <c r="H4" s="16"/>
      <c r="I4" s="16">
        <v>965.92</v>
      </c>
      <c r="J4" s="16"/>
      <c r="K4" s="16"/>
      <c r="L4" s="16"/>
      <c r="M4" s="16"/>
      <c r="N4" s="15">
        <f t="shared" si="0"/>
        <v>2702.95</v>
      </c>
      <c r="O4" s="24">
        <f>'Jun 19'!$N4+'May 19'!$O4</f>
        <v>23847.49</v>
      </c>
    </row>
    <row r="5" spans="1:15" ht="12.75">
      <c r="A5" s="25" t="s">
        <v>100</v>
      </c>
      <c r="B5" s="172">
        <v>0</v>
      </c>
      <c r="C5" s="13">
        <v>326.95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326.95</v>
      </c>
      <c r="O5" s="24">
        <f>'Jun 19'!$N5+'May 19'!$O5</f>
        <v>10559.86</v>
      </c>
    </row>
    <row r="6" spans="1:15" ht="12.75">
      <c r="A6" s="22" t="s">
        <v>11</v>
      </c>
      <c r="B6" s="172">
        <v>429.21</v>
      </c>
      <c r="C6" s="13">
        <v>1307.82</v>
      </c>
      <c r="D6" s="13"/>
      <c r="E6" s="14"/>
      <c r="F6" s="13"/>
      <c r="G6" s="13">
        <v>413.96</v>
      </c>
      <c r="H6" s="13"/>
      <c r="I6" s="13">
        <v>1034.91</v>
      </c>
      <c r="J6" s="13"/>
      <c r="K6" s="13"/>
      <c r="L6" s="13"/>
      <c r="M6" s="13"/>
      <c r="N6" s="15">
        <f t="shared" si="0"/>
        <v>3185.8999999999996</v>
      </c>
      <c r="O6" s="24">
        <f>'Jun 19'!$N6+'May 19'!$O6</f>
        <v>30752.940000000002</v>
      </c>
    </row>
    <row r="7" spans="1:15" ht="12.75">
      <c r="A7" s="25" t="s">
        <v>12</v>
      </c>
      <c r="B7" s="172">
        <v>651.27</v>
      </c>
      <c r="C7" s="13">
        <v>1307.82</v>
      </c>
      <c r="D7" s="16"/>
      <c r="E7" s="17"/>
      <c r="F7" s="16"/>
      <c r="G7" s="16"/>
      <c r="H7" s="16"/>
      <c r="I7" s="16"/>
      <c r="J7" s="16">
        <v>206.98</v>
      </c>
      <c r="K7" s="16"/>
      <c r="L7" s="16"/>
      <c r="M7" s="16"/>
      <c r="N7" s="15">
        <f t="shared" si="0"/>
        <v>2166.0699999999997</v>
      </c>
      <c r="O7" s="24">
        <f>'Jun 19'!$N7+'May 19'!$O7</f>
        <v>25564.969999999998</v>
      </c>
    </row>
    <row r="8" spans="1:15" ht="12.75">
      <c r="A8" s="25" t="s">
        <v>84</v>
      </c>
      <c r="B8" s="172">
        <v>429.21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1737.03</v>
      </c>
      <c r="O8" s="24">
        <f>'Jun 19'!$N8+'May 19'!$O8</f>
        <v>11103.890000000001</v>
      </c>
    </row>
    <row r="9" spans="1:15" ht="12.75">
      <c r="A9" s="22" t="s">
        <v>83</v>
      </c>
      <c r="B9" s="173">
        <v>0</v>
      </c>
      <c r="C9" s="13">
        <v>326.95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326.95</v>
      </c>
      <c r="O9" s="24">
        <f>'Jun 19'!$N9+'May 19'!$O9</f>
        <v>11405.45</v>
      </c>
    </row>
    <row r="10" spans="1:15" ht="12.75">
      <c r="A10" s="25" t="s">
        <v>14</v>
      </c>
      <c r="B10" s="172">
        <v>429.21</v>
      </c>
      <c r="C10" s="13">
        <v>1307.82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1737.03</v>
      </c>
      <c r="O10" s="24">
        <f>'Jun 19'!$N10+'May 19'!$O10</f>
        <v>14353.570000000002</v>
      </c>
    </row>
    <row r="11" spans="1:15" ht="12.75">
      <c r="A11" s="22" t="s">
        <v>15</v>
      </c>
      <c r="B11" s="172">
        <v>574.7</v>
      </c>
      <c r="C11" s="13">
        <v>1307.82</v>
      </c>
      <c r="D11" s="13"/>
      <c r="E11" s="14"/>
      <c r="F11" s="13"/>
      <c r="G11" s="13"/>
      <c r="H11" s="13"/>
      <c r="I11" s="13"/>
      <c r="J11" s="13">
        <v>160.99</v>
      </c>
      <c r="K11" s="13"/>
      <c r="L11" s="13"/>
      <c r="M11" s="13"/>
      <c r="N11" s="15">
        <f t="shared" si="0"/>
        <v>2043.51</v>
      </c>
      <c r="O11" s="24">
        <f>'Jun 19'!$N11+'May 19'!$O11</f>
        <v>12787.919999999998</v>
      </c>
    </row>
    <row r="12" spans="1:15" ht="12.75">
      <c r="A12" s="25" t="s">
        <v>16</v>
      </c>
      <c r="B12" s="172">
        <v>730.89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2038.71</v>
      </c>
      <c r="O12" s="24">
        <f>'Jun 19'!$N12+'May 19'!$O12</f>
        <v>14310.05</v>
      </c>
    </row>
    <row r="13" spans="1:15" ht="12.75">
      <c r="A13" s="22" t="s">
        <v>17</v>
      </c>
      <c r="B13" s="172">
        <v>733.84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2041.6599999999999</v>
      </c>
      <c r="O13" s="24">
        <f>'Jun 19'!$N13+'May 19'!$O13</f>
        <v>17958.39</v>
      </c>
    </row>
    <row r="14" spans="1:15" ht="12.75">
      <c r="A14" s="25" t="s">
        <v>18</v>
      </c>
      <c r="B14" s="173">
        <v>0</v>
      </c>
      <c r="C14" s="13">
        <v>326.95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326.95</v>
      </c>
      <c r="O14" s="24">
        <f>'Jun 19'!$N14+'May 19'!$O14</f>
        <v>14391.010000000002</v>
      </c>
    </row>
    <row r="15" spans="1:15" ht="12" customHeight="1">
      <c r="A15" s="22" t="s">
        <v>19</v>
      </c>
      <c r="B15" s="173">
        <v>0</v>
      </c>
      <c r="C15" s="13">
        <v>326.95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326.95</v>
      </c>
      <c r="O15" s="24">
        <f>'Jun 19'!$N15+'May 19'!$O15</f>
        <v>10145.51</v>
      </c>
    </row>
    <row r="16" spans="1:15" ht="12.75">
      <c r="A16" s="22" t="s">
        <v>93</v>
      </c>
      <c r="B16" s="173">
        <v>0</v>
      </c>
      <c r="C16" s="13">
        <v>326.95</v>
      </c>
      <c r="D16" s="13"/>
      <c r="E16" s="14"/>
      <c r="F16" s="13"/>
      <c r="G16" s="13"/>
      <c r="H16" s="13"/>
      <c r="I16" s="13"/>
      <c r="J16" s="13"/>
      <c r="K16" s="13">
        <f>125+175</f>
        <v>300</v>
      </c>
      <c r="L16" s="13">
        <f>150.24+97.91+51.85</f>
        <v>300</v>
      </c>
      <c r="M16" s="13"/>
      <c r="N16" s="15">
        <f t="shared" si="0"/>
        <v>926.95</v>
      </c>
      <c r="O16" s="24">
        <f>'Jun 19'!$N16+'May 19'!$O16</f>
        <v>10293.810000000001</v>
      </c>
    </row>
    <row r="17" spans="1:15" ht="12.75">
      <c r="A17" s="25" t="s">
        <v>20</v>
      </c>
      <c r="B17" s="173">
        <v>0</v>
      </c>
      <c r="C17" s="13">
        <v>326.95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326.95</v>
      </c>
      <c r="O17" s="24">
        <f>'Jun 19'!$N17+'May 19'!$O17</f>
        <v>10282.48</v>
      </c>
    </row>
    <row r="18" spans="1:15" ht="12.75">
      <c r="A18" s="22" t="s">
        <v>21</v>
      </c>
      <c r="B18" s="173">
        <v>0</v>
      </c>
      <c r="C18" s="13">
        <v>326.95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326.95</v>
      </c>
      <c r="O18" s="24">
        <f>'Jun 19'!$N18+'May 19'!$O18</f>
        <v>12378.43</v>
      </c>
    </row>
    <row r="19" spans="1:15" ht="12.75">
      <c r="A19" s="25" t="s">
        <v>22</v>
      </c>
      <c r="B19" s="173">
        <v>498.13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1805.9499999999998</v>
      </c>
      <c r="O19" s="24">
        <f>'Jun 19'!$N19+'May 19'!$O19</f>
        <v>11416.46</v>
      </c>
    </row>
    <row r="20" spans="1:15" ht="12.75">
      <c r="A20" s="22" t="s">
        <v>23</v>
      </c>
      <c r="B20" s="173">
        <v>0</v>
      </c>
      <c r="C20" s="13">
        <v>326.95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326.95</v>
      </c>
      <c r="O20" s="24">
        <f>'Jun 19'!$N20+'May 19'!$O20</f>
        <v>9790.6</v>
      </c>
    </row>
    <row r="21" spans="1:15" ht="12.75">
      <c r="A21" s="25" t="s">
        <v>24</v>
      </c>
      <c r="B21" s="173">
        <v>429.21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2237.0299999999997</v>
      </c>
      <c r="O21" s="24">
        <f>'Jun 19'!$N21+'May 19'!$O21</f>
        <v>13505.16</v>
      </c>
    </row>
    <row r="22" spans="1:15" ht="12.75">
      <c r="A22" s="22" t="s">
        <v>25</v>
      </c>
      <c r="B22" s="173">
        <v>0</v>
      </c>
      <c r="C22" s="13">
        <v>326.95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326.95</v>
      </c>
      <c r="O22" s="24">
        <f>'Jun 19'!$N22+'May 19'!$O22</f>
        <v>10196.36</v>
      </c>
    </row>
    <row r="23" spans="1:15" ht="12.75">
      <c r="A23" s="25" t="s">
        <v>26</v>
      </c>
      <c r="B23" s="173">
        <v>0</v>
      </c>
      <c r="C23" s="13">
        <v>326.95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326.95</v>
      </c>
      <c r="O23" s="24">
        <f>'Jun 19'!$N23+'May 19'!$O23</f>
        <v>11123.02</v>
      </c>
    </row>
    <row r="24" spans="1:15" ht="12.75">
      <c r="A24" s="22" t="s">
        <v>27</v>
      </c>
      <c r="B24" s="173">
        <v>0</v>
      </c>
      <c r="C24" s="13">
        <v>326.95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326.95</v>
      </c>
      <c r="O24" s="24">
        <f>'Jun 19'!$N24+'May 19'!$O24</f>
        <v>9728.810000000001</v>
      </c>
    </row>
    <row r="25" spans="1:15" ht="12.75">
      <c r="A25" s="25" t="s">
        <v>28</v>
      </c>
      <c r="B25" s="173">
        <v>0</v>
      </c>
      <c r="C25" s="13">
        <v>326.95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326.95</v>
      </c>
      <c r="O25" s="24">
        <f>'Jun 19'!$N25+'May 19'!$O25</f>
        <v>8758.25</v>
      </c>
    </row>
    <row r="26" spans="1:15" ht="12.75">
      <c r="A26" s="22" t="s">
        <v>29</v>
      </c>
      <c r="B26" s="173">
        <v>544.07</v>
      </c>
      <c r="C26" s="13">
        <v>1307.82</v>
      </c>
      <c r="D26" s="13"/>
      <c r="E26" s="14"/>
      <c r="F26" s="13"/>
      <c r="G26" s="13"/>
      <c r="H26" s="13"/>
      <c r="I26" s="13"/>
      <c r="J26" s="16"/>
      <c r="K26" s="13"/>
      <c r="L26" s="13"/>
      <c r="M26" s="13"/>
      <c r="N26" s="15">
        <f t="shared" si="0"/>
        <v>1851.8899999999999</v>
      </c>
      <c r="O26" s="24">
        <f>'Jun 19'!$N26+'May 19'!$O26</f>
        <v>11302.939999999999</v>
      </c>
    </row>
    <row r="27" spans="1:15" ht="12.75">
      <c r="A27" s="22" t="s">
        <v>31</v>
      </c>
      <c r="B27" s="173">
        <v>0</v>
      </c>
      <c r="C27" s="13">
        <v>326.95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326.95</v>
      </c>
      <c r="O27" s="24">
        <f>'Jun 19'!$N27+'May 19'!$O27</f>
        <v>12019.580000000002</v>
      </c>
    </row>
    <row r="28" spans="1:15" ht="12.75">
      <c r="A28" s="25" t="s">
        <v>32</v>
      </c>
      <c r="B28" s="173">
        <v>429.21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1737.03</v>
      </c>
      <c r="O28" s="24">
        <f>'Jun 19'!$N28+'May 19'!$O28</f>
        <v>10073.75</v>
      </c>
    </row>
    <row r="29" spans="1:15" ht="12.75">
      <c r="A29" s="22" t="s">
        <v>33</v>
      </c>
      <c r="B29" s="173">
        <v>429.21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1737.03</v>
      </c>
      <c r="O29" s="24">
        <f>'Jun 19'!$N29+'May 19'!$O29</f>
        <v>9534.359999999999</v>
      </c>
    </row>
    <row r="30" spans="1:15" ht="12.75">
      <c r="A30" s="25" t="s">
        <v>34</v>
      </c>
      <c r="B30" s="173">
        <v>0</v>
      </c>
      <c r="C30" s="13">
        <v>326.95</v>
      </c>
      <c r="D30" s="19"/>
      <c r="E30" s="17">
        <v>214.88</v>
      </c>
      <c r="F30" s="20"/>
      <c r="G30" s="20"/>
      <c r="H30" s="16"/>
      <c r="I30" s="16"/>
      <c r="J30" s="16"/>
      <c r="K30" s="16"/>
      <c r="L30" s="20">
        <v>73.65</v>
      </c>
      <c r="M30" s="20"/>
      <c r="N30" s="15">
        <f t="shared" si="0"/>
        <v>615.4799999999999</v>
      </c>
      <c r="O30" s="24">
        <f>'Jun 19'!$N30+'May 19'!$O30</f>
        <v>13200.71</v>
      </c>
    </row>
    <row r="31" spans="1:15" ht="12.75">
      <c r="A31" s="22" t="s">
        <v>35</v>
      </c>
      <c r="B31" s="173">
        <v>544.07</v>
      </c>
      <c r="C31" s="13">
        <v>1307.82</v>
      </c>
      <c r="D31" s="13"/>
      <c r="E31" s="14"/>
      <c r="F31" s="13"/>
      <c r="G31" s="13"/>
      <c r="H31" s="13"/>
      <c r="I31" s="13"/>
      <c r="J31" s="16"/>
      <c r="K31" s="13"/>
      <c r="L31" s="13"/>
      <c r="M31" s="13"/>
      <c r="N31" s="15">
        <f t="shared" si="0"/>
        <v>1851.8899999999999</v>
      </c>
      <c r="O31" s="24">
        <f>'Jun 19'!$N31+'May 19'!$O31</f>
        <v>11257.18</v>
      </c>
    </row>
    <row r="32" spans="1:15" ht="12.75">
      <c r="A32" s="25" t="s">
        <v>36</v>
      </c>
      <c r="B32" s="173">
        <v>429.21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2237.0299999999997</v>
      </c>
      <c r="O32" s="24">
        <f>'Jun 19'!$N32+'May 19'!$O32</f>
        <v>18244.67</v>
      </c>
    </row>
    <row r="33" spans="1:15" ht="12.75">
      <c r="A33" s="25" t="s">
        <v>82</v>
      </c>
      <c r="B33" s="173">
        <v>0</v>
      </c>
      <c r="C33" s="13">
        <v>326.95</v>
      </c>
      <c r="D33" s="13"/>
      <c r="E33" s="14"/>
      <c r="F33" s="13"/>
      <c r="G33" s="13"/>
      <c r="H33" s="13"/>
      <c r="I33" s="13"/>
      <c r="J33" s="13"/>
      <c r="K33" s="13">
        <v>250</v>
      </c>
      <c r="L33" s="13"/>
      <c r="M33" s="13"/>
      <c r="N33" s="15">
        <f t="shared" si="0"/>
        <v>576.95</v>
      </c>
      <c r="O33" s="24">
        <f>'Jun 19'!$N33+'May 19'!$O33</f>
        <v>9943.810000000001</v>
      </c>
    </row>
    <row r="34" spans="1:15" ht="12.75">
      <c r="A34" s="22" t="s">
        <v>39</v>
      </c>
      <c r="B34" s="173">
        <v>643.61</v>
      </c>
      <c r="C34" s="13">
        <v>1307.82</v>
      </c>
      <c r="D34" s="16"/>
      <c r="E34" s="17"/>
      <c r="F34" s="16"/>
      <c r="G34" s="16"/>
      <c r="H34" s="16"/>
      <c r="I34" s="16"/>
      <c r="J34" s="16">
        <v>298.98</v>
      </c>
      <c r="K34" s="16"/>
      <c r="L34" s="16"/>
      <c r="M34" s="16">
        <v>500</v>
      </c>
      <c r="N34" s="15">
        <f t="shared" si="0"/>
        <v>2750.41</v>
      </c>
      <c r="O34" s="24">
        <f>'Jun 19'!$N34+'May 19'!$O34</f>
        <v>16184.58</v>
      </c>
    </row>
    <row r="35" spans="1:15" ht="12.75">
      <c r="A35" s="25" t="s">
        <v>40</v>
      </c>
      <c r="B35" s="173">
        <v>695.46</v>
      </c>
      <c r="C35" s="13">
        <v>1307.82</v>
      </c>
      <c r="D35" s="13"/>
      <c r="E35" s="14"/>
      <c r="F35" s="13"/>
      <c r="G35" s="13"/>
      <c r="H35" s="13"/>
      <c r="I35" s="13"/>
      <c r="J35" s="13">
        <v>183.98</v>
      </c>
      <c r="K35" s="13"/>
      <c r="L35" s="13"/>
      <c r="M35" s="13">
        <v>500</v>
      </c>
      <c r="N35" s="15">
        <f t="shared" si="0"/>
        <v>2687.2599999999998</v>
      </c>
      <c r="O35" s="24">
        <f>'Jun 19'!$N35+'May 19'!$O35</f>
        <v>17878.59</v>
      </c>
    </row>
    <row r="36" spans="1:15" ht="12.75">
      <c r="A36" s="22" t="s">
        <v>41</v>
      </c>
      <c r="B36" s="173">
        <v>429.21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1737.03</v>
      </c>
      <c r="O36" s="24">
        <f>'Jun 19'!$N36+'May 19'!$O36</f>
        <v>11239.26</v>
      </c>
    </row>
    <row r="37" spans="1:15" ht="12.75">
      <c r="A37" s="25" t="s">
        <v>42</v>
      </c>
      <c r="B37" s="173">
        <v>710.22</v>
      </c>
      <c r="C37" s="13">
        <v>1307.82</v>
      </c>
      <c r="D37" s="13"/>
      <c r="E37" s="106"/>
      <c r="F37" s="13"/>
      <c r="G37" s="13"/>
      <c r="H37" s="13"/>
      <c r="I37" s="13"/>
      <c r="J37" s="13">
        <v>275.98</v>
      </c>
      <c r="K37" s="13"/>
      <c r="L37" s="13"/>
      <c r="M37" s="13"/>
      <c r="N37" s="15">
        <f t="shared" si="0"/>
        <v>2294.02</v>
      </c>
      <c r="O37" s="24">
        <f>'Jun 19'!$N37+'May 19'!$O37</f>
        <v>18897.6</v>
      </c>
    </row>
    <row r="38" spans="1:15" ht="12.75">
      <c r="A38" s="22" t="s">
        <v>43</v>
      </c>
      <c r="B38" s="173">
        <v>528.75</v>
      </c>
      <c r="C38" s="13">
        <v>1307.82</v>
      </c>
      <c r="D38" s="104"/>
      <c r="E38" s="73"/>
      <c r="F38" s="27"/>
      <c r="G38" s="27"/>
      <c r="H38" s="27"/>
      <c r="I38" s="27"/>
      <c r="J38" s="27">
        <v>206.99</v>
      </c>
      <c r="K38" s="27"/>
      <c r="L38" s="27"/>
      <c r="M38" s="27"/>
      <c r="N38" s="15">
        <f t="shared" si="0"/>
        <v>2043.56</v>
      </c>
      <c r="O38" s="24">
        <f>'Jun 19'!$N38+'May 19'!$O38</f>
        <v>11648.05</v>
      </c>
    </row>
    <row r="39" spans="1:15" ht="12.75">
      <c r="A39" s="25" t="s">
        <v>44</v>
      </c>
      <c r="B39" s="173">
        <v>513.44</v>
      </c>
      <c r="C39" s="13">
        <v>1307.82</v>
      </c>
      <c r="D39" s="101"/>
      <c r="E39" s="72"/>
      <c r="F39" s="105"/>
      <c r="G39" s="73">
        <v>1264.89</v>
      </c>
      <c r="H39" s="73"/>
      <c r="I39" s="73"/>
      <c r="J39" s="73"/>
      <c r="K39" s="73"/>
      <c r="L39" s="73"/>
      <c r="M39" s="73"/>
      <c r="N39" s="15">
        <f t="shared" si="0"/>
        <v>3086.15</v>
      </c>
      <c r="O39" s="24">
        <f>'Jun 19'!$N39+'May 19'!$O39</f>
        <v>14553.33</v>
      </c>
    </row>
    <row r="40" spans="1:15" ht="12.75">
      <c r="A40" s="22" t="s">
        <v>45</v>
      </c>
      <c r="B40" s="173">
        <v>0</v>
      </c>
      <c r="C40" s="13">
        <v>326.95</v>
      </c>
      <c r="D40" s="73"/>
      <c r="E40" s="73"/>
      <c r="F40" s="73"/>
      <c r="G40" s="73"/>
      <c r="H40" s="73"/>
      <c r="I40" s="73"/>
      <c r="J40" s="73"/>
      <c r="K40" s="73"/>
      <c r="L40" s="174">
        <v>82</v>
      </c>
      <c r="M40" s="73"/>
      <c r="N40" s="15">
        <f t="shared" si="0"/>
        <v>408.95</v>
      </c>
      <c r="O40" s="24">
        <f>'Jun 19'!$N40+'May 19'!$O40</f>
        <v>9847.25</v>
      </c>
    </row>
    <row r="41" spans="1:15" ht="12.75">
      <c r="A41" s="87" t="s">
        <v>46</v>
      </c>
      <c r="B41" s="173">
        <v>436.87</v>
      </c>
      <c r="C41" s="13">
        <v>1307.82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1744.69</v>
      </c>
      <c r="O41" s="24">
        <f>'Jun 19'!$N41+'May 19'!$O41</f>
        <v>11674.84</v>
      </c>
    </row>
    <row r="42" spans="1:15" s="69" customFormat="1" ht="12.75">
      <c r="A42" s="102" t="s">
        <v>91</v>
      </c>
      <c r="B42" s="173">
        <v>748.6</v>
      </c>
      <c r="C42" s="13">
        <v>1307.82</v>
      </c>
      <c r="D42" s="100"/>
      <c r="E42" s="100"/>
      <c r="F42" s="100"/>
      <c r="G42" s="100"/>
      <c r="H42" s="100">
        <v>252.98</v>
      </c>
      <c r="I42" s="100"/>
      <c r="J42" s="100">
        <v>252.98</v>
      </c>
      <c r="K42" s="100"/>
      <c r="L42" s="100"/>
      <c r="M42" s="100"/>
      <c r="N42" s="15">
        <f t="shared" si="0"/>
        <v>2562.38</v>
      </c>
      <c r="O42" s="24">
        <f>'Jun 19'!$N42+'May 19'!$O42</f>
        <v>15345.25</v>
      </c>
    </row>
    <row r="43" spans="1:15" s="177" customFormat="1" ht="12.75">
      <c r="A43" s="178" t="s">
        <v>130</v>
      </c>
      <c r="B43" s="173"/>
      <c r="C43" s="67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76"/>
      <c r="O43" s="24"/>
    </row>
    <row r="44" spans="1:15" s="177" customFormat="1" ht="12.75">
      <c r="A44" s="175" t="s">
        <v>113</v>
      </c>
      <c r="B44" s="173">
        <v>429.21</v>
      </c>
      <c r="C44" s="67">
        <v>980.86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76">
        <f t="shared" si="0"/>
        <v>1410.07</v>
      </c>
      <c r="O44" s="24">
        <f>'Jun 19'!$N44+'May 19'!$O44</f>
        <v>1410.07</v>
      </c>
    </row>
    <row r="45" spans="1:15" s="177" customFormat="1" ht="12.75">
      <c r="A45" s="175" t="s">
        <v>114</v>
      </c>
      <c r="B45" s="173">
        <v>452.19</v>
      </c>
      <c r="C45" s="67">
        <v>980.86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76">
        <f t="shared" si="0"/>
        <v>1433.05</v>
      </c>
      <c r="O45" s="24">
        <f>'Jun 19'!$N45+'May 19'!$O45</f>
        <v>1433.05</v>
      </c>
    </row>
    <row r="46" spans="1:15" s="177" customFormat="1" ht="12.75">
      <c r="A46" s="175" t="s">
        <v>115</v>
      </c>
      <c r="B46" s="173">
        <v>574.7</v>
      </c>
      <c r="C46" s="67">
        <v>980.86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76">
        <f t="shared" si="0"/>
        <v>1555.56</v>
      </c>
      <c r="O46" s="24">
        <f>'Jun 19'!$N46+'May 19'!$O46</f>
        <v>1555.56</v>
      </c>
    </row>
    <row r="47" spans="1:15" s="177" customFormat="1" ht="12.75">
      <c r="A47" s="175" t="s">
        <v>116</v>
      </c>
      <c r="B47" s="173">
        <v>436.87</v>
      </c>
      <c r="C47" s="67">
        <v>980.86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76">
        <f t="shared" si="0"/>
        <v>1417.73</v>
      </c>
      <c r="O47" s="24">
        <f>'Jun 19'!$N47+'May 19'!$O47</f>
        <v>1417.73</v>
      </c>
    </row>
    <row r="48" spans="1:15" s="177" customFormat="1" ht="12.75">
      <c r="A48" s="175" t="s">
        <v>117</v>
      </c>
      <c r="B48" s="173">
        <v>429.21</v>
      </c>
      <c r="C48" s="67">
        <v>980.86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76">
        <f t="shared" si="0"/>
        <v>1410.07</v>
      </c>
      <c r="O48" s="24">
        <f>'Jun 19'!$N48+'May 19'!$O48</f>
        <v>1410.07</v>
      </c>
    </row>
    <row r="49" spans="1:15" s="177" customFormat="1" ht="12.75">
      <c r="A49" s="175" t="s">
        <v>118</v>
      </c>
      <c r="B49" s="173">
        <v>429.21</v>
      </c>
      <c r="C49" s="67">
        <v>980.86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76">
        <f t="shared" si="0"/>
        <v>1410.07</v>
      </c>
      <c r="O49" s="24">
        <f>'Jun 19'!$N49+'May 19'!$O49</f>
        <v>1410.07</v>
      </c>
    </row>
    <row r="50" spans="1:15" s="177" customFormat="1" ht="12.75">
      <c r="A50" s="175" t="s">
        <v>119</v>
      </c>
      <c r="B50" s="173">
        <v>429.21</v>
      </c>
      <c r="C50" s="67">
        <v>980.86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76">
        <f t="shared" si="0"/>
        <v>1410.07</v>
      </c>
      <c r="O50" s="24">
        <f>'Jun 19'!$N50+'May 19'!$O50</f>
        <v>1410.07</v>
      </c>
    </row>
    <row r="51" spans="1:15" s="177" customFormat="1" ht="12.75">
      <c r="A51" s="175" t="s">
        <v>120</v>
      </c>
      <c r="B51" s="173">
        <v>429.21</v>
      </c>
      <c r="C51" s="67">
        <v>980.86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76">
        <f t="shared" si="0"/>
        <v>1410.07</v>
      </c>
      <c r="O51" s="24">
        <f>'Jun 19'!$N51+'May 19'!$O45</f>
        <v>1410.07</v>
      </c>
    </row>
    <row r="52" spans="1:15" s="177" customFormat="1" ht="12.75">
      <c r="A52" s="175" t="s">
        <v>121</v>
      </c>
      <c r="B52" s="173">
        <v>429.21</v>
      </c>
      <c r="C52" s="67">
        <v>980.86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59">
        <v>500</v>
      </c>
      <c r="N52" s="176">
        <f t="shared" si="0"/>
        <v>1910.07</v>
      </c>
      <c r="O52" s="24">
        <f>'Jun 19'!$N52+'May 19'!$O46</f>
        <v>1910.07</v>
      </c>
    </row>
    <row r="53" spans="1:15" s="177" customFormat="1" ht="12.75">
      <c r="A53" s="175" t="s">
        <v>122</v>
      </c>
      <c r="B53" s="173">
        <v>429.21</v>
      </c>
      <c r="C53" s="67">
        <v>980.86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76">
        <f t="shared" si="0"/>
        <v>1410.07</v>
      </c>
      <c r="O53" s="24">
        <f>'Jun 19'!$N53+'May 19'!$O47</f>
        <v>1410.07</v>
      </c>
    </row>
    <row r="54" spans="1:15" s="177" customFormat="1" ht="12.75">
      <c r="A54" s="175" t="s">
        <v>123</v>
      </c>
      <c r="B54" s="173">
        <v>429.21</v>
      </c>
      <c r="C54" s="67">
        <v>980.86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76">
        <f t="shared" si="0"/>
        <v>1410.07</v>
      </c>
      <c r="O54" s="24">
        <f>'Jun 19'!$N54+'May 19'!$O48</f>
        <v>1410.07</v>
      </c>
    </row>
    <row r="55" spans="1:15" s="177" customFormat="1" ht="12.75">
      <c r="A55" s="175" t="s">
        <v>124</v>
      </c>
      <c r="B55" s="173">
        <v>429.21</v>
      </c>
      <c r="C55" s="67">
        <v>980.86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76">
        <f t="shared" si="0"/>
        <v>1410.07</v>
      </c>
      <c r="O55" s="24">
        <f>'Jun 19'!$N55+'May 19'!$O49</f>
        <v>1410.07</v>
      </c>
    </row>
    <row r="56" spans="1:15" s="177" customFormat="1" ht="12.75">
      <c r="A56" s="175" t="s">
        <v>125</v>
      </c>
      <c r="B56" s="173">
        <v>651.27</v>
      </c>
      <c r="C56" s="67">
        <v>980.86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76">
        <f t="shared" si="0"/>
        <v>1632.13</v>
      </c>
      <c r="O56" s="24">
        <f>'Jun 19'!$N56+'May 19'!$O50</f>
        <v>1632.13</v>
      </c>
    </row>
    <row r="57" spans="1:15" s="177" customFormat="1" ht="12.75">
      <c r="A57" s="175" t="s">
        <v>126</v>
      </c>
      <c r="B57" s="173">
        <v>467.5</v>
      </c>
      <c r="C57" s="67">
        <v>980.86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76">
        <f t="shared" si="0"/>
        <v>1448.3600000000001</v>
      </c>
      <c r="O57" s="24">
        <f>'Jun 19'!$N57+'May 19'!$O51</f>
        <v>1448.3600000000001</v>
      </c>
    </row>
    <row r="58" spans="1:15" s="177" customFormat="1" ht="12.75">
      <c r="A58" s="175" t="s">
        <v>127</v>
      </c>
      <c r="B58" s="173">
        <v>429.21</v>
      </c>
      <c r="C58" s="67">
        <v>980.86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76">
        <f t="shared" si="0"/>
        <v>1410.07</v>
      </c>
      <c r="O58" s="24">
        <f>'Jun 19'!$N58+'May 19'!$O52</f>
        <v>1410.07</v>
      </c>
    </row>
    <row r="59" spans="1:15" s="177" customFormat="1" ht="12.75">
      <c r="A59" s="175" t="s">
        <v>128</v>
      </c>
      <c r="B59" s="173">
        <v>429.21</v>
      </c>
      <c r="C59" s="67">
        <v>980.86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76">
        <f t="shared" si="0"/>
        <v>1410.07</v>
      </c>
      <c r="O59" s="24">
        <f>'Jun 19'!$N59+'May 19'!$O53</f>
        <v>1410.07</v>
      </c>
    </row>
    <row r="60" spans="1:15" s="177" customFormat="1" ht="12.75">
      <c r="A60" s="175" t="s">
        <v>129</v>
      </c>
      <c r="B60" s="173">
        <v>429.21</v>
      </c>
      <c r="C60" s="67">
        <v>980.86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76">
        <f t="shared" si="0"/>
        <v>1410.07</v>
      </c>
      <c r="O60" s="24">
        <f>'Jun 19'!$N60+'May 19'!$O54</f>
        <v>1410.07</v>
      </c>
    </row>
    <row r="61" spans="1:15" ht="13.5" thickBot="1">
      <c r="A61" s="95"/>
      <c r="B61" s="96">
        <f aca="true" t="shared" si="1" ref="B61:O61">SUM(B3:B60)</f>
        <v>20149.859999999993</v>
      </c>
      <c r="C61" s="96">
        <f t="shared" si="1"/>
        <v>52312.63000000001</v>
      </c>
      <c r="D61" s="97">
        <f t="shared" si="1"/>
        <v>0</v>
      </c>
      <c r="E61" s="95">
        <f t="shared" si="1"/>
        <v>214.88</v>
      </c>
      <c r="F61" s="97">
        <f t="shared" si="1"/>
        <v>0</v>
      </c>
      <c r="G61" s="97">
        <f t="shared" si="1"/>
        <v>1678.8500000000001</v>
      </c>
      <c r="H61" s="97">
        <f t="shared" si="1"/>
        <v>252.98</v>
      </c>
      <c r="I61" s="97">
        <f t="shared" si="1"/>
        <v>2000.83</v>
      </c>
      <c r="J61" s="97">
        <f t="shared" si="1"/>
        <v>1586.88</v>
      </c>
      <c r="K61" s="97">
        <f t="shared" si="1"/>
        <v>550</v>
      </c>
      <c r="L61" s="97">
        <f t="shared" si="1"/>
        <v>455.65</v>
      </c>
      <c r="M61" s="97">
        <f t="shared" si="1"/>
        <v>2500</v>
      </c>
      <c r="N61" s="82">
        <f t="shared" si="1"/>
        <v>81702.56000000007</v>
      </c>
      <c r="O61" s="97">
        <f t="shared" si="1"/>
        <v>566887.7599999994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61" sqref="A1:O61"/>
    </sheetView>
  </sheetViews>
  <sheetFormatPr defaultColWidth="12.7109375" defaultRowHeight="12.75"/>
  <cols>
    <col min="1" max="1" width="18.8515625" style="0" bestFit="1" customWidth="1"/>
    <col min="2" max="2" width="12.00390625" style="0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10.421875" style="0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3.140625" style="0" customWidth="1"/>
  </cols>
  <sheetData>
    <row r="1" spans="1:14" ht="18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78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0</v>
      </c>
      <c r="O3" s="24">
        <f>'Jul 19'!$N3+'Jun 19'!$O3</f>
        <v>14479.91</v>
      </c>
    </row>
    <row r="4" spans="1:15" ht="12.75">
      <c r="A4" s="25" t="s">
        <v>8</v>
      </c>
      <c r="B4" s="122">
        <v>444.61</v>
      </c>
      <c r="C4" s="13">
        <v>1307.82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1752.4299999999998</v>
      </c>
      <c r="O4" s="24">
        <f>'Jul 19'!$N4+'Jun 19'!$O4</f>
        <v>25599.920000000002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'Jul 19'!$N5+'Jun 19'!$O5</f>
        <v>10559.86</v>
      </c>
    </row>
    <row r="6" spans="1:15" ht="12.75">
      <c r="A6" s="22" t="s">
        <v>11</v>
      </c>
      <c r="B6" s="122">
        <v>444.61</v>
      </c>
      <c r="C6" s="13">
        <v>1307.82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5">
        <f t="shared" si="0"/>
        <v>3132.31</v>
      </c>
      <c r="O6" s="24">
        <f>'Jul 19'!$N6+'Jun 19'!$O6</f>
        <v>33885.25</v>
      </c>
    </row>
    <row r="7" spans="1:15" ht="12.75">
      <c r="A7" s="25" t="s">
        <v>12</v>
      </c>
      <c r="B7" s="122">
        <v>666.67</v>
      </c>
      <c r="C7" s="13">
        <v>1307.82</v>
      </c>
      <c r="D7" s="16"/>
      <c r="E7" s="17"/>
      <c r="F7" s="16">
        <v>1997.37</v>
      </c>
      <c r="G7" s="16"/>
      <c r="H7" s="16"/>
      <c r="I7" s="16"/>
      <c r="J7" s="16"/>
      <c r="K7" s="16"/>
      <c r="L7" s="16"/>
      <c r="M7" s="16"/>
      <c r="N7" s="15">
        <f t="shared" si="0"/>
        <v>3971.8599999999997</v>
      </c>
      <c r="O7" s="24">
        <f>'Jul 19'!$N7+'Jun 19'!$O7</f>
        <v>29536.829999999998</v>
      </c>
    </row>
    <row r="8" spans="1:15" ht="12.75">
      <c r="A8" s="25" t="s">
        <v>84</v>
      </c>
      <c r="B8" s="122">
        <v>444.61</v>
      </c>
      <c r="C8" s="13">
        <v>1307.82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1752.4299999999998</v>
      </c>
      <c r="O8" s="24">
        <f>'Jul 19'!$N8+'Jun 19'!$O8</f>
        <v>12856.320000000002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>
        <v>2293.19</v>
      </c>
      <c r="G9" s="13"/>
      <c r="H9" s="13"/>
      <c r="I9" s="13"/>
      <c r="J9" s="13"/>
      <c r="K9" s="13"/>
      <c r="L9" s="13"/>
      <c r="M9" s="13"/>
      <c r="N9" s="15">
        <f t="shared" si="0"/>
        <v>2293.19</v>
      </c>
      <c r="O9" s="24">
        <f>'Jul 19'!$N9+'Jun 19'!$O9</f>
        <v>13698.640000000001</v>
      </c>
    </row>
    <row r="10" spans="1:15" ht="12.75">
      <c r="A10" s="25" t="s">
        <v>14</v>
      </c>
      <c r="B10" s="122">
        <v>444.61</v>
      </c>
      <c r="C10" s="13">
        <v>1307.82</v>
      </c>
      <c r="D10" s="16"/>
      <c r="E10" s="17">
        <v>210.98</v>
      </c>
      <c r="F10" s="16"/>
      <c r="G10" s="16"/>
      <c r="H10" s="16"/>
      <c r="I10" s="16"/>
      <c r="J10" s="16"/>
      <c r="K10" s="16"/>
      <c r="L10" s="16"/>
      <c r="M10" s="16"/>
      <c r="N10" s="15">
        <f t="shared" si="0"/>
        <v>1963.4099999999999</v>
      </c>
      <c r="O10" s="24">
        <f>'Jul 19'!$N10+'Jun 19'!$O10</f>
        <v>16316.980000000001</v>
      </c>
    </row>
    <row r="11" spans="1:15" ht="12.75">
      <c r="A11" s="22" t="s">
        <v>15</v>
      </c>
      <c r="B11" s="122">
        <v>590.1</v>
      </c>
      <c r="C11" s="13">
        <v>1307.82</v>
      </c>
      <c r="D11" s="13"/>
      <c r="E11" s="14"/>
      <c r="F11" s="13"/>
      <c r="G11" s="13"/>
      <c r="H11" s="13"/>
      <c r="I11" s="13"/>
      <c r="J11" s="13">
        <v>459.96</v>
      </c>
      <c r="K11" s="13"/>
      <c r="L11" s="13"/>
      <c r="M11" s="13"/>
      <c r="N11" s="15">
        <f t="shared" si="0"/>
        <v>2357.88</v>
      </c>
      <c r="O11" s="24">
        <f>'Jul 19'!$N11+'Jun 19'!$O11</f>
        <v>15145.8</v>
      </c>
    </row>
    <row r="12" spans="1:15" ht="12.75">
      <c r="A12" s="25" t="s">
        <v>16</v>
      </c>
      <c r="B12" s="122">
        <v>746.29</v>
      </c>
      <c r="C12" s="13">
        <v>1307.82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2054.1099999999997</v>
      </c>
      <c r="O12" s="24">
        <f>'Jul 19'!$N12+'Jun 19'!$O12</f>
        <v>16364.16</v>
      </c>
    </row>
    <row r="13" spans="1:15" ht="12.75">
      <c r="A13" s="22" t="s">
        <v>17</v>
      </c>
      <c r="B13" s="122">
        <v>749.24</v>
      </c>
      <c r="C13" s="13">
        <v>1307.82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2057.06</v>
      </c>
      <c r="O13" s="24">
        <f>'Jul 19'!$N13+'Jun 19'!$O13</f>
        <v>20015.45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'Jul 19'!$N14+'Jun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'Jul 19'!$N15+'Jun 19'!$O15</f>
        <v>10145.51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'Jul 19'!$N16+'Jun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'Jul 19'!$N17+'Jun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'Jul 19'!$N18+'Jun 19'!$O18</f>
        <v>12378.43</v>
      </c>
    </row>
    <row r="19" spans="1:15" ht="12.75">
      <c r="A19" s="25" t="s">
        <v>22</v>
      </c>
      <c r="B19" s="122">
        <v>513.53</v>
      </c>
      <c r="C19" s="13">
        <v>1307.82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1821.35</v>
      </c>
      <c r="O19" s="24">
        <f>'Jul 19'!$N19+'Jun 19'!$O19</f>
        <v>13237.81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'Jul 19'!$N20+'Jun 19'!$O20</f>
        <v>9790.6</v>
      </c>
    </row>
    <row r="21" spans="1:15" ht="12.75">
      <c r="A21" s="25" t="s">
        <v>24</v>
      </c>
      <c r="B21" s="122">
        <v>444.61</v>
      </c>
      <c r="C21" s="13">
        <v>1307.82</v>
      </c>
      <c r="D21" s="16"/>
      <c r="E21" s="17"/>
      <c r="F21" s="16"/>
      <c r="G21" s="16"/>
      <c r="H21" s="16"/>
      <c r="I21" s="16"/>
      <c r="J21" s="16"/>
      <c r="K21" s="16">
        <v>139.93</v>
      </c>
      <c r="L21" s="16">
        <f>87.04</f>
        <v>87.04</v>
      </c>
      <c r="M21" s="16">
        <v>500</v>
      </c>
      <c r="N21" s="15">
        <f t="shared" si="0"/>
        <v>2479.3999999999996</v>
      </c>
      <c r="O21" s="24">
        <f>'Jul 19'!$N21+'Jun 19'!$O21</f>
        <v>15984.56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'Jul 19'!$N22+'Jun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'Jul 19'!$N23+'Jun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'Jul 19'!$N24+'Jun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'Jul 19'!$N25+'Jun 19'!$O25</f>
        <v>8758.25</v>
      </c>
    </row>
    <row r="26" spans="1:15" ht="12.75">
      <c r="A26" s="22" t="s">
        <v>29</v>
      </c>
      <c r="B26" s="122">
        <v>567.13</v>
      </c>
      <c r="C26" s="13">
        <v>1307.82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1874.9499999999998</v>
      </c>
      <c r="O26" s="24">
        <f>'Jul 19'!$N26+'Jun 19'!$O26</f>
        <v>13177.89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'Jul 19'!$N27+'Jun 19'!$O27</f>
        <v>12019.580000000002</v>
      </c>
    </row>
    <row r="28" spans="1:15" ht="12.75">
      <c r="A28" s="25" t="s">
        <v>32</v>
      </c>
      <c r="B28" s="122">
        <v>459.93</v>
      </c>
      <c r="C28" s="13">
        <v>1307.82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1767.75</v>
      </c>
      <c r="O28" s="24">
        <f>'Jul 19'!$N28+'Jun 19'!$O28</f>
        <v>11841.5</v>
      </c>
    </row>
    <row r="29" spans="1:15" ht="12.75">
      <c r="A29" s="22" t="s">
        <v>33</v>
      </c>
      <c r="B29" s="122">
        <v>444.61</v>
      </c>
      <c r="C29" s="13">
        <v>1307.82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1752.4299999999998</v>
      </c>
      <c r="O29" s="24">
        <f>'Jul 19'!$N29+'Jun 19'!$O29</f>
        <v>11286.789999999999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5">
        <f t="shared" si="0"/>
        <v>0</v>
      </c>
      <c r="O30" s="24">
        <f>'Jul 19'!$N30+'Jun 19'!$O30</f>
        <v>13200.71</v>
      </c>
    </row>
    <row r="31" spans="1:15" ht="13.5" customHeight="1">
      <c r="A31" s="22" t="s">
        <v>35</v>
      </c>
      <c r="B31" s="122">
        <v>559.47</v>
      </c>
      <c r="C31" s="13">
        <v>1307.82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1867.29</v>
      </c>
      <c r="O31" s="24">
        <f>'Jul 19'!$N31+'Jun 19'!$O31</f>
        <v>13124.470000000001</v>
      </c>
    </row>
    <row r="32" spans="1:15" ht="12.75">
      <c r="A32" s="25" t="s">
        <v>36</v>
      </c>
      <c r="B32" s="122">
        <v>444.61</v>
      </c>
      <c r="C32" s="13">
        <v>1307.82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2252.43</v>
      </c>
      <c r="O32" s="24">
        <f>'Jul 19'!$N32+'Jun 19'!$O32</f>
        <v>20497.1</v>
      </c>
    </row>
    <row r="33" spans="1:15" ht="12.75">
      <c r="A33" s="22" t="s">
        <v>89</v>
      </c>
      <c r="B33" s="122">
        <v>0</v>
      </c>
      <c r="C33" s="13">
        <v>0</v>
      </c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5">
        <f t="shared" si="0"/>
        <v>0</v>
      </c>
      <c r="O33" s="24">
        <f>'Jul 19'!$N33+'Jun 19'!$O33</f>
        <v>9943.810000000001</v>
      </c>
    </row>
    <row r="34" spans="1:15" ht="12.75">
      <c r="A34" s="22" t="s">
        <v>39</v>
      </c>
      <c r="B34" s="122">
        <v>659.01</v>
      </c>
      <c r="C34" s="13">
        <v>1307.82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2466.83</v>
      </c>
      <c r="O34" s="24">
        <f>'Jul 19'!$N34+'Jun 19'!$O34</f>
        <v>18651.41</v>
      </c>
    </row>
    <row r="35" spans="1:15" ht="12.75">
      <c r="A35" s="25" t="s">
        <v>40</v>
      </c>
      <c r="B35" s="122">
        <v>707.9</v>
      </c>
      <c r="C35" s="13">
        <v>1307.82</v>
      </c>
      <c r="D35" s="13"/>
      <c r="E35" s="14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2975.68</v>
      </c>
      <c r="O35" s="24">
        <f>'Jul 19'!$N35+'Jun 19'!$O35</f>
        <v>20854.27</v>
      </c>
    </row>
    <row r="36" spans="1:15" ht="12.75">
      <c r="A36" s="22" t="s">
        <v>41</v>
      </c>
      <c r="B36" s="122">
        <v>444.61</v>
      </c>
      <c r="C36" s="13">
        <v>1307.82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1752.4299999999998</v>
      </c>
      <c r="O36" s="24">
        <f>'Jul 19'!$N36+'Jun 19'!$O36</f>
        <v>12991.69</v>
      </c>
    </row>
    <row r="37" spans="1:15" ht="12.75">
      <c r="A37" s="25" t="s">
        <v>42</v>
      </c>
      <c r="B37" s="122">
        <v>725.62</v>
      </c>
      <c r="C37" s="13">
        <v>1307.82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2033.44</v>
      </c>
      <c r="O37" s="24">
        <f>'Jul 19'!$N37+'Jun 19'!$O37</f>
        <v>20931.039999999997</v>
      </c>
    </row>
    <row r="38" spans="1:15" ht="12.75">
      <c r="A38" s="22" t="s">
        <v>43</v>
      </c>
      <c r="B38" s="122">
        <v>544.15</v>
      </c>
      <c r="C38" s="13">
        <v>1307.82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2311.93</v>
      </c>
      <c r="O38" s="24">
        <f>'Jul 19'!$N38+'Jun 19'!$O38</f>
        <v>13959.98</v>
      </c>
    </row>
    <row r="39" spans="1:15" ht="12.75">
      <c r="A39" s="25" t="s">
        <v>44</v>
      </c>
      <c r="B39" s="122">
        <v>528.84</v>
      </c>
      <c r="C39" s="13">
        <v>1307.82</v>
      </c>
      <c r="D39" s="101"/>
      <c r="E39" s="72"/>
      <c r="F39" s="105">
        <v>1834.18</v>
      </c>
      <c r="G39" s="73">
        <v>2299.8</v>
      </c>
      <c r="H39" s="73"/>
      <c r="I39" s="73"/>
      <c r="J39" s="73"/>
      <c r="K39" s="73"/>
      <c r="L39" s="73"/>
      <c r="M39" s="73"/>
      <c r="N39" s="15">
        <f t="shared" si="0"/>
        <v>5970.64</v>
      </c>
      <c r="O39" s="24">
        <f>'Jul 19'!$N39+'Jun 19'!$O39</f>
        <v>20523.97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'Jul 19'!$N40+'Jun 19'!$O40</f>
        <v>9847.25</v>
      </c>
    </row>
    <row r="41" spans="1:15" ht="12.75">
      <c r="A41" s="87" t="s">
        <v>46</v>
      </c>
      <c r="B41" s="122">
        <v>459.93</v>
      </c>
      <c r="C41" s="13">
        <v>1307.82</v>
      </c>
      <c r="D41" s="73"/>
      <c r="E41" s="73">
        <f>393.29+81.41+440.77</f>
        <v>915.47</v>
      </c>
      <c r="F41" s="73"/>
      <c r="G41" s="73"/>
      <c r="H41" s="73"/>
      <c r="I41" s="73"/>
      <c r="J41" s="73"/>
      <c r="K41" s="73"/>
      <c r="L41" s="73">
        <v>185.44</v>
      </c>
      <c r="M41" s="73"/>
      <c r="N41" s="15">
        <f t="shared" si="0"/>
        <v>2868.6600000000003</v>
      </c>
      <c r="O41" s="24">
        <f>'Jul 19'!$N41+'Jun 19'!$O41</f>
        <v>14543.5</v>
      </c>
    </row>
    <row r="42" spans="1:15" ht="13.5" thickBot="1">
      <c r="A42" s="102" t="s">
        <v>91</v>
      </c>
      <c r="B42" s="123">
        <v>764</v>
      </c>
      <c r="C42" s="13">
        <v>1307.82</v>
      </c>
      <c r="D42" s="100"/>
      <c r="E42" s="100"/>
      <c r="F42" s="100"/>
      <c r="G42" s="100"/>
      <c r="H42" s="100">
        <v>459.96</v>
      </c>
      <c r="I42" s="100"/>
      <c r="J42" s="100"/>
      <c r="K42" s="100"/>
      <c r="L42" s="100"/>
      <c r="M42" s="100"/>
      <c r="N42" s="15">
        <f t="shared" si="0"/>
        <v>2531.7799999999997</v>
      </c>
      <c r="O42" s="24">
        <f>'Jul 19'!$N42+'Jun 19'!$O42</f>
        <v>17877.03</v>
      </c>
    </row>
    <row r="43" spans="1:15" ht="14.25" thickBot="1" thickTop="1">
      <c r="A43" s="180" t="s">
        <v>130</v>
      </c>
      <c r="B43" s="179">
        <v>0</v>
      </c>
      <c r="C43" s="13"/>
      <c r="D43" s="100"/>
      <c r="E43" s="177"/>
      <c r="F43" s="100"/>
      <c r="G43" s="177"/>
      <c r="H43" s="177"/>
      <c r="I43" s="100"/>
      <c r="J43" s="177"/>
      <c r="K43" s="100"/>
      <c r="L43" s="177"/>
      <c r="M43" s="100"/>
      <c r="N43" s="15">
        <f t="shared" si="0"/>
        <v>0</v>
      </c>
      <c r="O43" s="24">
        <f>'Jul 19'!$N43+'Jun 19'!$O43</f>
        <v>0</v>
      </c>
    </row>
    <row r="44" spans="1:15" ht="14.25" thickBot="1" thickTop="1">
      <c r="A44" s="175" t="s">
        <v>113</v>
      </c>
      <c r="B44" s="179">
        <v>444.61</v>
      </c>
      <c r="C44" s="13">
        <v>1307.82</v>
      </c>
      <c r="D44" s="100"/>
      <c r="E44" s="177"/>
      <c r="F44" s="100"/>
      <c r="G44" s="177"/>
      <c r="H44" s="177"/>
      <c r="I44" s="100"/>
      <c r="J44" s="177"/>
      <c r="K44" s="100"/>
      <c r="L44" s="177"/>
      <c r="M44" s="100"/>
      <c r="N44" s="15">
        <f t="shared" si="0"/>
        <v>1752.4299999999998</v>
      </c>
      <c r="O44" s="24">
        <f>'Jul 19'!$N44+'Jun 19'!$O44</f>
        <v>3162.5</v>
      </c>
    </row>
    <row r="45" spans="1:15" ht="14.25" thickBot="1" thickTop="1">
      <c r="A45" s="175" t="s">
        <v>114</v>
      </c>
      <c r="B45" s="179">
        <v>467.59</v>
      </c>
      <c r="C45" s="13">
        <v>1307.82</v>
      </c>
      <c r="D45" s="100"/>
      <c r="E45" s="177"/>
      <c r="F45" s="100"/>
      <c r="G45" s="177"/>
      <c r="H45" s="177"/>
      <c r="I45" s="100"/>
      <c r="J45" s="177"/>
      <c r="K45" s="100"/>
      <c r="L45" s="177"/>
      <c r="M45" s="100"/>
      <c r="N45" s="15">
        <f t="shared" si="0"/>
        <v>1775.4099999999999</v>
      </c>
      <c r="O45" s="24">
        <f>'Jul 19'!$N45+'Jun 19'!$O45</f>
        <v>3208.46</v>
      </c>
    </row>
    <row r="46" spans="1:15" ht="14.25" thickBot="1" thickTop="1">
      <c r="A46" s="175" t="s">
        <v>115</v>
      </c>
      <c r="B46" s="179">
        <v>590.1</v>
      </c>
      <c r="C46" s="13">
        <v>1307.82</v>
      </c>
      <c r="D46" s="100"/>
      <c r="E46" s="177"/>
      <c r="F46" s="100"/>
      <c r="G46" s="177"/>
      <c r="H46" s="177"/>
      <c r="I46" s="100"/>
      <c r="J46" s="177"/>
      <c r="K46" s="100"/>
      <c r="L46" s="177">
        <v>150</v>
      </c>
      <c r="M46" s="100"/>
      <c r="N46" s="15">
        <f t="shared" si="0"/>
        <v>2047.92</v>
      </c>
      <c r="O46" s="24">
        <f>'Jul 19'!$N46+'Jun 19'!$O46</f>
        <v>3603.48</v>
      </c>
    </row>
    <row r="47" spans="1:15" ht="14.25" thickBot="1" thickTop="1">
      <c r="A47" s="175" t="s">
        <v>116</v>
      </c>
      <c r="B47" s="179">
        <v>452.27</v>
      </c>
      <c r="C47" s="13">
        <v>1307.82</v>
      </c>
      <c r="D47" s="100"/>
      <c r="E47" s="177"/>
      <c r="F47" s="100"/>
      <c r="G47" s="177"/>
      <c r="H47" s="177"/>
      <c r="I47" s="100"/>
      <c r="J47" s="177"/>
      <c r="K47" s="100"/>
      <c r="L47" s="177"/>
      <c r="M47" s="100"/>
      <c r="N47" s="15">
        <f t="shared" si="0"/>
        <v>1760.09</v>
      </c>
      <c r="O47" s="24">
        <f>'Jul 19'!$N47+'Jun 19'!$O47</f>
        <v>3177.8199999999997</v>
      </c>
    </row>
    <row r="48" spans="1:15" ht="14.25" thickBot="1" thickTop="1">
      <c r="A48" s="175" t="s">
        <v>117</v>
      </c>
      <c r="B48" s="179">
        <v>444.61</v>
      </c>
      <c r="C48" s="13">
        <v>1307.82</v>
      </c>
      <c r="D48" s="100"/>
      <c r="E48" s="177"/>
      <c r="F48" s="100"/>
      <c r="G48" s="177"/>
      <c r="H48" s="177"/>
      <c r="I48" s="100"/>
      <c r="J48" s="177"/>
      <c r="K48" s="100"/>
      <c r="L48" s="177"/>
      <c r="M48" s="100"/>
      <c r="N48" s="15">
        <f t="shared" si="0"/>
        <v>1752.4299999999998</v>
      </c>
      <c r="O48" s="24">
        <f>'Jul 19'!$N48+'Jun 19'!$O48</f>
        <v>3162.5</v>
      </c>
    </row>
    <row r="49" spans="1:15" ht="14.25" thickBot="1" thickTop="1">
      <c r="A49" s="175" t="s">
        <v>118</v>
      </c>
      <c r="B49" s="179">
        <v>444.61</v>
      </c>
      <c r="C49" s="13">
        <v>1307.82</v>
      </c>
      <c r="D49" s="100"/>
      <c r="E49" s="177"/>
      <c r="F49" s="100"/>
      <c r="G49" s="177"/>
      <c r="H49" s="177"/>
      <c r="I49" s="100"/>
      <c r="J49" s="177"/>
      <c r="K49" s="100"/>
      <c r="L49" s="177"/>
      <c r="M49" s="100"/>
      <c r="N49" s="15">
        <f t="shared" si="0"/>
        <v>1752.4299999999998</v>
      </c>
      <c r="O49" s="24">
        <f>'Jul 19'!$N49+'Jun 19'!$O49</f>
        <v>3162.5</v>
      </c>
    </row>
    <row r="50" spans="1:15" ht="14.25" thickBot="1" thickTop="1">
      <c r="A50" s="175" t="s">
        <v>119</v>
      </c>
      <c r="B50" s="179">
        <v>444.61</v>
      </c>
      <c r="C50" s="13">
        <v>1307.82</v>
      </c>
      <c r="D50" s="100"/>
      <c r="E50" s="177"/>
      <c r="F50" s="100"/>
      <c r="G50" s="177"/>
      <c r="H50" s="177"/>
      <c r="I50" s="100"/>
      <c r="J50" s="177"/>
      <c r="K50" s="100"/>
      <c r="L50" s="177"/>
      <c r="M50" s="100"/>
      <c r="N50" s="15">
        <f t="shared" si="0"/>
        <v>1752.4299999999998</v>
      </c>
      <c r="O50" s="24">
        <f>'Jul 19'!$N50+'Jun 19'!$O50</f>
        <v>3162.5</v>
      </c>
    </row>
    <row r="51" spans="1:15" ht="14.25" thickBot="1" thickTop="1">
      <c r="A51" s="175" t="s">
        <v>120</v>
      </c>
      <c r="B51" s="179">
        <v>444.61</v>
      </c>
      <c r="C51" s="13">
        <v>1307.82</v>
      </c>
      <c r="D51" s="100"/>
      <c r="E51" s="177"/>
      <c r="F51" s="100"/>
      <c r="G51" s="177"/>
      <c r="H51" s="177"/>
      <c r="I51" s="100"/>
      <c r="J51" s="177"/>
      <c r="K51" s="100"/>
      <c r="L51" s="177"/>
      <c r="M51" s="100"/>
      <c r="N51" s="15">
        <f t="shared" si="0"/>
        <v>1752.4299999999998</v>
      </c>
      <c r="O51" s="24">
        <f>'Jul 19'!$N51+'Jun 19'!$O51</f>
        <v>3162.5</v>
      </c>
    </row>
    <row r="52" spans="1:15" ht="14.25" thickBot="1" thickTop="1">
      <c r="A52" s="175" t="s">
        <v>121</v>
      </c>
      <c r="B52" s="179">
        <v>444.61</v>
      </c>
      <c r="C52" s="13">
        <v>1307.82</v>
      </c>
      <c r="D52" s="100"/>
      <c r="E52" s="177"/>
      <c r="F52" s="100"/>
      <c r="G52" s="177"/>
      <c r="H52" s="177"/>
      <c r="I52" s="100"/>
      <c r="J52" s="177"/>
      <c r="K52" s="100"/>
      <c r="L52" s="177"/>
      <c r="M52" s="157">
        <v>500</v>
      </c>
      <c r="N52" s="15">
        <f t="shared" si="0"/>
        <v>2252.43</v>
      </c>
      <c r="O52" s="24">
        <f>'Jul 19'!$N52+'Jun 19'!$O52</f>
        <v>4162.5</v>
      </c>
    </row>
    <row r="53" spans="1:15" ht="14.25" thickBot="1" thickTop="1">
      <c r="A53" s="175" t="s">
        <v>122</v>
      </c>
      <c r="B53" s="179">
        <v>444.61</v>
      </c>
      <c r="C53" s="13">
        <v>1307.82</v>
      </c>
      <c r="D53" s="100"/>
      <c r="E53" s="177"/>
      <c r="F53" s="100"/>
      <c r="G53" s="177"/>
      <c r="H53" s="177"/>
      <c r="I53" s="100"/>
      <c r="J53" s="177"/>
      <c r="K53" s="100"/>
      <c r="L53" s="177"/>
      <c r="M53" s="100"/>
      <c r="N53" s="15">
        <f t="shared" si="0"/>
        <v>1752.4299999999998</v>
      </c>
      <c r="O53" s="24">
        <f>'Jul 19'!$N53+'Jun 19'!$O53</f>
        <v>3162.5</v>
      </c>
    </row>
    <row r="54" spans="1:15" ht="14.25" thickBot="1" thickTop="1">
      <c r="A54" s="175" t="s">
        <v>123</v>
      </c>
      <c r="B54" s="179">
        <v>444.61</v>
      </c>
      <c r="C54" s="13">
        <v>1307.82</v>
      </c>
      <c r="D54" s="100"/>
      <c r="E54" s="177"/>
      <c r="F54" s="100"/>
      <c r="G54" s="177"/>
      <c r="H54" s="177"/>
      <c r="I54" s="100"/>
      <c r="J54" s="177"/>
      <c r="K54" s="100"/>
      <c r="L54" s="177"/>
      <c r="M54" s="100"/>
      <c r="N54" s="15">
        <f t="shared" si="0"/>
        <v>1752.4299999999998</v>
      </c>
      <c r="O54" s="24">
        <f>'Jul 19'!$N54+'Jun 19'!$O54</f>
        <v>3162.5</v>
      </c>
    </row>
    <row r="55" spans="1:15" ht="14.25" thickBot="1" thickTop="1">
      <c r="A55" s="175" t="s">
        <v>124</v>
      </c>
      <c r="B55" s="179">
        <v>444.61</v>
      </c>
      <c r="C55" s="13">
        <v>1307.82</v>
      </c>
      <c r="D55" s="100"/>
      <c r="E55" s="177"/>
      <c r="F55" s="100"/>
      <c r="G55" s="177"/>
      <c r="H55" s="177"/>
      <c r="I55" s="100"/>
      <c r="J55" s="177"/>
      <c r="K55" s="100"/>
      <c r="L55" s="177"/>
      <c r="M55" s="100"/>
      <c r="N55" s="15">
        <f t="shared" si="0"/>
        <v>1752.4299999999998</v>
      </c>
      <c r="O55" s="24">
        <f>'Jul 19'!$N55+'Jun 19'!$O55</f>
        <v>3162.5</v>
      </c>
    </row>
    <row r="56" spans="1:15" ht="14.25" thickBot="1" thickTop="1">
      <c r="A56" s="175" t="s">
        <v>125</v>
      </c>
      <c r="B56" s="179">
        <v>666.67</v>
      </c>
      <c r="C56" s="13">
        <v>1307.82</v>
      </c>
      <c r="D56" s="100"/>
      <c r="E56" s="177"/>
      <c r="F56" s="100"/>
      <c r="G56" s="177"/>
      <c r="H56" s="177"/>
      <c r="I56" s="100"/>
      <c r="J56" s="177"/>
      <c r="K56" s="100"/>
      <c r="L56" s="177"/>
      <c r="M56" s="100"/>
      <c r="N56" s="15">
        <f t="shared" si="0"/>
        <v>1974.4899999999998</v>
      </c>
      <c r="O56" s="24">
        <f>'Jul 19'!$N56+'Jun 19'!$O56</f>
        <v>3606.62</v>
      </c>
    </row>
    <row r="57" spans="1:15" ht="14.25" thickBot="1" thickTop="1">
      <c r="A57" s="175" t="s">
        <v>126</v>
      </c>
      <c r="B57" s="179">
        <v>482.9</v>
      </c>
      <c r="C57" s="13">
        <v>1307.82</v>
      </c>
      <c r="D57" s="100"/>
      <c r="E57" s="177"/>
      <c r="F57" s="100"/>
      <c r="G57" s="177"/>
      <c r="H57" s="177"/>
      <c r="I57" s="100"/>
      <c r="J57" s="177"/>
      <c r="K57" s="100"/>
      <c r="L57" s="177"/>
      <c r="M57" s="100"/>
      <c r="N57" s="15">
        <f t="shared" si="0"/>
        <v>1790.7199999999998</v>
      </c>
      <c r="O57" s="24">
        <f>'Jul 19'!$N57+'Jun 19'!$O57</f>
        <v>3239.08</v>
      </c>
    </row>
    <row r="58" spans="1:15" ht="14.25" thickBot="1" thickTop="1">
      <c r="A58" s="175" t="s">
        <v>127</v>
      </c>
      <c r="B58" s="179">
        <v>444.61</v>
      </c>
      <c r="C58" s="13">
        <v>1307.82</v>
      </c>
      <c r="D58" s="100"/>
      <c r="E58" s="177"/>
      <c r="F58" s="100"/>
      <c r="G58" s="177"/>
      <c r="H58" s="177"/>
      <c r="I58" s="100"/>
      <c r="J58" s="177"/>
      <c r="K58" s="100"/>
      <c r="L58" s="177"/>
      <c r="M58" s="100"/>
      <c r="N58" s="15">
        <f t="shared" si="0"/>
        <v>1752.4299999999998</v>
      </c>
      <c r="O58" s="24">
        <f>'Jul 19'!$N58+'Jun 19'!$O58</f>
        <v>3162.5</v>
      </c>
    </row>
    <row r="59" spans="1:15" ht="14.25" thickBot="1" thickTop="1">
      <c r="A59" s="175" t="s">
        <v>128</v>
      </c>
      <c r="B59" s="179">
        <v>444.61</v>
      </c>
      <c r="C59" s="13">
        <v>1307.82</v>
      </c>
      <c r="D59" s="100"/>
      <c r="E59" s="177"/>
      <c r="F59" s="100"/>
      <c r="G59" s="177"/>
      <c r="H59" s="177"/>
      <c r="I59" s="100"/>
      <c r="J59" s="177"/>
      <c r="K59" s="100"/>
      <c r="L59" s="177"/>
      <c r="M59" s="100"/>
      <c r="N59" s="15">
        <f t="shared" si="0"/>
        <v>1752.4299999999998</v>
      </c>
      <c r="O59" s="24">
        <f>'Jul 19'!$N59+'Jun 19'!$O59</f>
        <v>3162.5</v>
      </c>
    </row>
    <row r="60" spans="1:15" ht="14.25" thickBot="1" thickTop="1">
      <c r="A60" s="175" t="s">
        <v>129</v>
      </c>
      <c r="B60" s="179">
        <v>444.61</v>
      </c>
      <c r="C60" s="13">
        <v>1307.82</v>
      </c>
      <c r="D60" s="100"/>
      <c r="E60" s="177"/>
      <c r="F60" s="100"/>
      <c r="G60" s="177"/>
      <c r="H60" s="177"/>
      <c r="I60" s="100"/>
      <c r="J60" s="177"/>
      <c r="K60" s="100"/>
      <c r="L60" s="177"/>
      <c r="M60" s="100"/>
      <c r="N60" s="15">
        <f t="shared" si="0"/>
        <v>1752.4299999999998</v>
      </c>
      <c r="O60" s="24">
        <f>'Jul 19'!$N60+'Jun 19'!$O60</f>
        <v>3162.5</v>
      </c>
    </row>
    <row r="61" spans="1:15" ht="14.25" thickBot="1" thickTop="1">
      <c r="A61" s="175"/>
      <c r="B61" s="107">
        <f>SUM(B3:B60)</f>
        <v>20793.540000000008</v>
      </c>
      <c r="C61" s="98">
        <f>SUM(C3:C60)</f>
        <v>52312.799999999996</v>
      </c>
      <c r="D61" s="97">
        <f aca="true" t="shared" si="1" ref="D61:K61">SUM(D3:D42)</f>
        <v>0</v>
      </c>
      <c r="E61" s="98">
        <f>SUM(E3:E60)</f>
        <v>1126.45</v>
      </c>
      <c r="F61" s="97">
        <f t="shared" si="1"/>
        <v>6124.74</v>
      </c>
      <c r="G61" s="98">
        <f t="shared" si="1"/>
        <v>2299.8</v>
      </c>
      <c r="H61" s="98">
        <f t="shared" si="1"/>
        <v>459.96</v>
      </c>
      <c r="I61" s="97">
        <f t="shared" si="1"/>
        <v>1379.88</v>
      </c>
      <c r="J61" s="98">
        <f>SUM(J3:J42)</f>
        <v>1379.8799999999999</v>
      </c>
      <c r="K61" s="97">
        <f t="shared" si="1"/>
        <v>139.93</v>
      </c>
      <c r="L61" s="98">
        <f>SUM(L3:L60)</f>
        <v>422.48</v>
      </c>
      <c r="M61" s="97">
        <f>SUM(M3:M60)</f>
        <v>2500</v>
      </c>
      <c r="N61" s="99">
        <f>SUM(N3:N60)</f>
        <v>88939.45999999993</v>
      </c>
      <c r="O61" s="181">
        <f>'Jul 19'!$N61+'Jun 19'!$O61</f>
        <v>655827.2199999994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pane xSplit="1" topLeftCell="B1" activePane="topRight" state="frozen"/>
      <selection pane="topLeft" activeCell="A5" sqref="A5"/>
      <selection pane="topRight" activeCell="G25" sqref="G25"/>
    </sheetView>
  </sheetViews>
  <sheetFormatPr defaultColWidth="12.7109375" defaultRowHeight="12.75"/>
  <cols>
    <col min="1" max="1" width="18.8515625" style="0" bestFit="1" customWidth="1"/>
    <col min="2" max="2" width="13.140625" style="0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customWidth="1"/>
  </cols>
  <sheetData>
    <row r="1" spans="1:14" ht="18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77.25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95</v>
      </c>
      <c r="P2" s="1"/>
      <c r="Q2" s="1"/>
    </row>
    <row r="3" spans="1:15" ht="12.75">
      <c r="A3" s="22" t="s">
        <v>7</v>
      </c>
      <c r="B3" s="122">
        <v>0</v>
      </c>
      <c r="C3" s="13">
        <v>0</v>
      </c>
      <c r="D3" s="13"/>
      <c r="E3" s="14"/>
      <c r="F3" s="13"/>
      <c r="G3" s="13"/>
      <c r="H3" s="13"/>
      <c r="I3" s="13"/>
      <c r="J3" s="13"/>
      <c r="K3" s="13">
        <v>75</v>
      </c>
      <c r="L3" s="13">
        <v>150.5</v>
      </c>
      <c r="M3" s="13"/>
      <c r="N3" s="15">
        <f aca="true" t="shared" si="0" ref="N3:N60">SUM(B3:M3)</f>
        <v>225.5</v>
      </c>
      <c r="O3" s="24">
        <f>'Aug 19'!$N3+'Jul 19'!$O3</f>
        <v>14705.41</v>
      </c>
    </row>
    <row r="4" spans="1:15" ht="13.5" thickBot="1">
      <c r="A4" s="25" t="s">
        <v>8</v>
      </c>
      <c r="B4" s="123">
        <v>444.61</v>
      </c>
      <c r="C4" s="13">
        <v>1961.73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2406.34</v>
      </c>
      <c r="O4" s="24">
        <f>'Aug 19'!$N4+'Jul 19'!$O4</f>
        <v>28006.260000000002</v>
      </c>
    </row>
    <row r="5" spans="1:15" ht="13.5" thickTop="1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'Aug 19'!$N5+'Jul 19'!$O5</f>
        <v>10559.86</v>
      </c>
    </row>
    <row r="6" spans="1:15" ht="13.5" thickBot="1">
      <c r="A6" s="22" t="s">
        <v>11</v>
      </c>
      <c r="B6" s="123">
        <v>444.61</v>
      </c>
      <c r="C6" s="13">
        <v>1961.73</v>
      </c>
      <c r="D6" s="13"/>
      <c r="E6" s="14"/>
      <c r="F6" s="13"/>
      <c r="G6" s="13"/>
      <c r="H6" s="13"/>
      <c r="I6" s="13">
        <v>2069.82</v>
      </c>
      <c r="J6" s="13"/>
      <c r="K6" s="13"/>
      <c r="L6" s="13">
        <v>545.05</v>
      </c>
      <c r="M6" s="13"/>
      <c r="N6" s="15">
        <f t="shared" si="0"/>
        <v>5021.21</v>
      </c>
      <c r="O6" s="24">
        <f>'Aug 19'!$N6+'Jul 19'!$O6</f>
        <v>38906.46</v>
      </c>
    </row>
    <row r="7" spans="1:15" ht="14.25" thickBot="1" thickTop="1">
      <c r="A7" s="25" t="s">
        <v>12</v>
      </c>
      <c r="B7" s="123">
        <v>666.67</v>
      </c>
      <c r="C7" s="13">
        <v>1961.73</v>
      </c>
      <c r="D7" s="16"/>
      <c r="E7" s="17">
        <v>73.07</v>
      </c>
      <c r="F7" s="16"/>
      <c r="G7" s="16"/>
      <c r="H7" s="16"/>
      <c r="I7" s="16"/>
      <c r="J7" s="16"/>
      <c r="K7" s="16"/>
      <c r="L7" s="16"/>
      <c r="M7" s="16"/>
      <c r="N7" s="15">
        <f t="shared" si="0"/>
        <v>2701.4700000000003</v>
      </c>
      <c r="O7" s="24">
        <f>'Aug 19'!$N7+'Jul 19'!$O7</f>
        <v>32238.3</v>
      </c>
    </row>
    <row r="8" spans="1:15" ht="14.25" thickBot="1" thickTop="1">
      <c r="A8" s="25" t="s">
        <v>84</v>
      </c>
      <c r="B8" s="123">
        <v>444.61</v>
      </c>
      <c r="C8" s="13">
        <v>1961.73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2406.34</v>
      </c>
      <c r="O8" s="24">
        <f>'Aug 19'!$N8+'Jul 19'!$O8</f>
        <v>15262.660000000002</v>
      </c>
    </row>
    <row r="9" spans="1:15" ht="13.5" thickTop="1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'Aug 19'!$N9+'Jul 19'!$O9</f>
        <v>13698.640000000001</v>
      </c>
    </row>
    <row r="10" spans="1:15" ht="13.5" thickBot="1">
      <c r="A10" s="25" t="s">
        <v>14</v>
      </c>
      <c r="B10" s="123">
        <v>444.61</v>
      </c>
      <c r="C10" s="13">
        <v>1961.73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2406.34</v>
      </c>
      <c r="O10" s="24">
        <f>'Aug 19'!$N10+'Jul 19'!$O10</f>
        <v>18723.32</v>
      </c>
    </row>
    <row r="11" spans="1:15" ht="13.5" thickTop="1">
      <c r="A11" s="22" t="s">
        <v>15</v>
      </c>
      <c r="B11" s="122">
        <v>590.1</v>
      </c>
      <c r="C11" s="13">
        <v>1961.73</v>
      </c>
      <c r="D11" s="13"/>
      <c r="E11" s="14"/>
      <c r="F11" s="13"/>
      <c r="G11" s="13"/>
      <c r="H11" s="13"/>
      <c r="I11" s="13"/>
      <c r="J11" s="13">
        <v>689.94</v>
      </c>
      <c r="K11" s="13"/>
      <c r="L11" s="13"/>
      <c r="M11" s="13"/>
      <c r="N11" s="15">
        <f t="shared" si="0"/>
        <v>3241.77</v>
      </c>
      <c r="O11" s="24">
        <f>'Aug 19'!$N11+'Jul 19'!$O11</f>
        <v>18387.57</v>
      </c>
    </row>
    <row r="12" spans="1:15" ht="12.75">
      <c r="A12" s="25" t="s">
        <v>16</v>
      </c>
      <c r="B12" s="122">
        <v>746.29</v>
      </c>
      <c r="C12" s="13">
        <v>1961.73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2708.02</v>
      </c>
      <c r="O12" s="24">
        <f>'Aug 19'!$N12+'Jul 19'!$O12</f>
        <v>19072.18</v>
      </c>
    </row>
    <row r="13" spans="1:15" ht="12.75">
      <c r="A13" s="22" t="s">
        <v>17</v>
      </c>
      <c r="B13" s="122">
        <v>749.24</v>
      </c>
      <c r="C13" s="13">
        <v>1961.73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2710.9700000000003</v>
      </c>
      <c r="O13" s="24">
        <f>'Aug 19'!$N13+'Jul 19'!$O13</f>
        <v>22726.420000000002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'Aug 19'!$N14+'Jul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4">
        <f>'Aug 19'!$N15+'Jul 19'!$O15</f>
        <v>10145.51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'Aug 19'!$N16+'Jul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'Aug 19'!$N17+'Jul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'Aug 19'!$N18+'Jul 19'!$O18</f>
        <v>12378.43</v>
      </c>
    </row>
    <row r="19" spans="1:15" ht="12.75">
      <c r="A19" s="25" t="s">
        <v>22</v>
      </c>
      <c r="B19" s="122">
        <v>628.37</v>
      </c>
      <c r="C19" s="13">
        <v>1961.73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2590.1</v>
      </c>
      <c r="O19" s="24">
        <f>'Aug 19'!$N19+'Jul 19'!$O19</f>
        <v>15827.91</v>
      </c>
    </row>
    <row r="20" spans="1:15" ht="12" customHeight="1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'Aug 19'!$N20+'Jul 19'!$O20</f>
        <v>9790.6</v>
      </c>
    </row>
    <row r="21" spans="1:15" ht="12.75">
      <c r="A21" s="25" t="s">
        <v>24</v>
      </c>
      <c r="B21" s="122">
        <v>444.61</v>
      </c>
      <c r="C21" s="13">
        <v>1961.73</v>
      </c>
      <c r="D21" s="16"/>
      <c r="E21" s="17"/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2906.34</v>
      </c>
      <c r="O21" s="24">
        <f>'Aug 19'!$N21+'Jul 19'!$O21</f>
        <v>18890.9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'Aug 19'!$N22+'Jul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'Aug 19'!$N23+'Jul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'Aug 19'!$N24+'Jul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>
        <v>2344.03</v>
      </c>
      <c r="M25" s="16"/>
      <c r="N25" s="15">
        <f t="shared" si="0"/>
        <v>2344.03</v>
      </c>
      <c r="O25" s="24">
        <f>'Aug 19'!$N25+'Jul 19'!$O25</f>
        <v>11102.28</v>
      </c>
    </row>
    <row r="26" spans="1:15" ht="12.75">
      <c r="A26" s="22" t="s">
        <v>29</v>
      </c>
      <c r="B26" s="122">
        <v>567.13</v>
      </c>
      <c r="C26" s="13">
        <v>1961.73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2528.86</v>
      </c>
      <c r="O26" s="24">
        <f>'Aug 19'!$N26+'Jul 19'!$O26</f>
        <v>15706.75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'Aug 19'!$N27+'Jul 19'!$O27</f>
        <v>12019.580000000002</v>
      </c>
    </row>
    <row r="28" spans="1:15" ht="12.75">
      <c r="A28" s="25" t="s">
        <v>32</v>
      </c>
      <c r="B28" s="122">
        <v>459.93</v>
      </c>
      <c r="C28" s="13">
        <v>1961.73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2421.66</v>
      </c>
      <c r="O28" s="24">
        <f>'Aug 19'!$N28+'Jul 19'!$O28</f>
        <v>14263.16</v>
      </c>
    </row>
    <row r="29" spans="1:15" ht="12.75">
      <c r="A29" s="22" t="s">
        <v>33</v>
      </c>
      <c r="B29" s="122">
        <v>444.61</v>
      </c>
      <c r="C29" s="13">
        <v>1961.73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2406.34</v>
      </c>
      <c r="O29" s="24">
        <f>'Aug 19'!$N29+'Jul 19'!$O29</f>
        <v>13693.13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5">
        <f t="shared" si="0"/>
        <v>0</v>
      </c>
      <c r="O30" s="24">
        <f>'Aug 19'!$N30+'Jul 19'!$O30</f>
        <v>13200.71</v>
      </c>
    </row>
    <row r="31" spans="1:15" ht="12.75">
      <c r="A31" s="22" t="s">
        <v>35</v>
      </c>
      <c r="B31" s="122">
        <v>559.47</v>
      </c>
      <c r="C31" s="13">
        <v>1961.73</v>
      </c>
      <c r="D31" s="13"/>
      <c r="E31" s="14"/>
      <c r="F31" s="13"/>
      <c r="G31" s="13"/>
      <c r="H31" s="13"/>
      <c r="I31" s="13"/>
      <c r="J31" s="13"/>
      <c r="K31" s="13">
        <v>150</v>
      </c>
      <c r="L31" s="13">
        <v>298.09</v>
      </c>
      <c r="M31" s="13"/>
      <c r="N31" s="15">
        <f t="shared" si="0"/>
        <v>2969.29</v>
      </c>
      <c r="O31" s="24">
        <f>'Aug 19'!$N31+'Jul 19'!$O31</f>
        <v>16093.760000000002</v>
      </c>
    </row>
    <row r="32" spans="1:15" ht="12.75">
      <c r="A32" s="25" t="s">
        <v>36</v>
      </c>
      <c r="B32" s="122">
        <v>444.61</v>
      </c>
      <c r="C32" s="13">
        <v>1961.73</v>
      </c>
      <c r="D32" s="16"/>
      <c r="E32" s="17"/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2906.34</v>
      </c>
      <c r="O32" s="24">
        <f>'Aug 19'!$N32+'Jul 19'!$O32</f>
        <v>23403.44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'Aug 19'!$N33+'Jul 19'!$O33</f>
        <v>9943.810000000001</v>
      </c>
    </row>
    <row r="34" spans="1:15" ht="12.75">
      <c r="A34" s="22" t="s">
        <v>39</v>
      </c>
      <c r="B34" s="122">
        <v>659.01</v>
      </c>
      <c r="C34" s="13">
        <v>1961.73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3120.74</v>
      </c>
      <c r="O34" s="24">
        <f>'Aug 19'!$N34+'Jul 19'!$O34</f>
        <v>21772.15</v>
      </c>
    </row>
    <row r="35" spans="1:15" ht="12.75">
      <c r="A35" s="25" t="s">
        <v>40</v>
      </c>
      <c r="B35" s="122">
        <v>707.9</v>
      </c>
      <c r="C35" s="13">
        <v>1961.73</v>
      </c>
      <c r="D35" s="13"/>
      <c r="E35" s="14"/>
      <c r="F35" s="13"/>
      <c r="G35" s="13"/>
      <c r="H35" s="13"/>
      <c r="I35" s="13"/>
      <c r="J35" s="13">
        <v>689.94</v>
      </c>
      <c r="K35" s="13"/>
      <c r="L35" s="13"/>
      <c r="M35" s="13">
        <v>500</v>
      </c>
      <c r="N35" s="15">
        <f t="shared" si="0"/>
        <v>3859.57</v>
      </c>
      <c r="O35" s="24">
        <f>'Aug 19'!$N35+'Jul 19'!$O35</f>
        <v>24713.84</v>
      </c>
    </row>
    <row r="36" spans="1:15" ht="12.75">
      <c r="A36" s="22" t="s">
        <v>41</v>
      </c>
      <c r="B36" s="122">
        <v>444.61</v>
      </c>
      <c r="C36" s="13">
        <v>1961.73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2406.34</v>
      </c>
      <c r="O36" s="24">
        <f>'Aug 19'!$N36+'Jul 19'!$O36</f>
        <v>15398.03</v>
      </c>
    </row>
    <row r="37" spans="1:15" ht="12.75">
      <c r="A37" s="25" t="s">
        <v>42</v>
      </c>
      <c r="B37" s="122">
        <v>725.62</v>
      </c>
      <c r="C37" s="13">
        <v>1961.73</v>
      </c>
      <c r="D37" s="13"/>
      <c r="E37" s="106"/>
      <c r="F37" s="13"/>
      <c r="G37" s="13"/>
      <c r="H37" s="13"/>
      <c r="I37" s="13"/>
      <c r="J37" s="13"/>
      <c r="K37" s="13"/>
      <c r="L37" s="13"/>
      <c r="M37" s="13"/>
      <c r="N37" s="15">
        <f t="shared" si="0"/>
        <v>2687.35</v>
      </c>
      <c r="O37" s="24">
        <f>'Aug 19'!$N37+'Jul 19'!$O37</f>
        <v>23618.389999999996</v>
      </c>
    </row>
    <row r="38" spans="1:15" ht="12.75">
      <c r="A38" s="22" t="s">
        <v>43</v>
      </c>
      <c r="B38" s="122">
        <v>544.15</v>
      </c>
      <c r="C38" s="13">
        <v>1961.73</v>
      </c>
      <c r="D38" s="104"/>
      <c r="E38" s="73"/>
      <c r="F38" s="27"/>
      <c r="G38" s="27"/>
      <c r="H38" s="27"/>
      <c r="I38" s="27"/>
      <c r="J38" s="13">
        <v>689.94</v>
      </c>
      <c r="K38" s="27"/>
      <c r="L38" s="27"/>
      <c r="M38" s="27"/>
      <c r="N38" s="15">
        <f t="shared" si="0"/>
        <v>3195.82</v>
      </c>
      <c r="O38" s="24">
        <f>'Aug 19'!$N38+'Jul 19'!$O38</f>
        <v>17155.8</v>
      </c>
    </row>
    <row r="39" spans="1:15" ht="12.75">
      <c r="A39" s="25" t="s">
        <v>44</v>
      </c>
      <c r="B39" s="122">
        <v>528.84</v>
      </c>
      <c r="C39" s="13">
        <v>1961.73</v>
      </c>
      <c r="D39" s="101"/>
      <c r="E39" s="72"/>
      <c r="F39" s="105"/>
      <c r="G39" s="73">
        <v>3449.7</v>
      </c>
      <c r="H39" s="73"/>
      <c r="I39" s="73"/>
      <c r="J39" s="73"/>
      <c r="K39" s="73"/>
      <c r="L39" s="73"/>
      <c r="M39" s="73"/>
      <c r="N39" s="15">
        <f t="shared" si="0"/>
        <v>5940.27</v>
      </c>
      <c r="O39" s="24">
        <f>'Aug 19'!$N39+'Jul 19'!$O39</f>
        <v>26464.24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'Aug 19'!$N40+'Jul 19'!$O40</f>
        <v>9847.25</v>
      </c>
    </row>
    <row r="41" spans="1:15" ht="12.75">
      <c r="A41" s="87" t="s">
        <v>46</v>
      </c>
      <c r="B41" s="122">
        <v>459.93</v>
      </c>
      <c r="C41" s="13">
        <v>1961.73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2421.66</v>
      </c>
      <c r="O41" s="24">
        <f>'Aug 19'!$N41+'Jul 19'!$O41</f>
        <v>16965.16</v>
      </c>
    </row>
    <row r="42" spans="1:15" s="71" customFormat="1" ht="13.5" thickBot="1">
      <c r="A42" s="102" t="s">
        <v>91</v>
      </c>
      <c r="B42" s="123">
        <v>643.69</v>
      </c>
      <c r="C42" s="13">
        <v>1961.73</v>
      </c>
      <c r="D42" s="100"/>
      <c r="E42" s="100">
        <f>375.49+342.1+215.02</f>
        <v>932.61</v>
      </c>
      <c r="F42" s="100"/>
      <c r="G42" s="100"/>
      <c r="H42" s="100">
        <v>689.94</v>
      </c>
      <c r="I42" s="100"/>
      <c r="J42" s="100"/>
      <c r="K42" s="100"/>
      <c r="L42" s="100"/>
      <c r="M42" s="100"/>
      <c r="N42" s="15">
        <f t="shared" si="0"/>
        <v>4227.97</v>
      </c>
      <c r="O42" s="24">
        <f>'Aug 19'!$N42+'Jul 19'!$O42</f>
        <v>22105</v>
      </c>
    </row>
    <row r="43" spans="1:15" s="71" customFormat="1" ht="14.25" thickBot="1" thickTop="1">
      <c r="A43" s="178" t="s">
        <v>130</v>
      </c>
      <c r="B43" s="123"/>
      <c r="C43" s="13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5">
        <f t="shared" si="0"/>
        <v>0</v>
      </c>
      <c r="O43" s="24">
        <f>'Aug 19'!$N43+'Jul 19'!$O43</f>
        <v>0</v>
      </c>
    </row>
    <row r="44" spans="1:15" s="71" customFormat="1" ht="14.25" thickBot="1" thickTop="1">
      <c r="A44" s="175" t="s">
        <v>113</v>
      </c>
      <c r="B44" s="123">
        <v>444.61</v>
      </c>
      <c r="C44" s="13">
        <v>1961.73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5">
        <f t="shared" si="0"/>
        <v>2406.34</v>
      </c>
      <c r="O44" s="24">
        <f>'Aug 19'!$N44+'Jul 19'!$O44</f>
        <v>5568.84</v>
      </c>
    </row>
    <row r="45" spans="1:15" s="71" customFormat="1" ht="14.25" thickBot="1" thickTop="1">
      <c r="A45" s="175" t="s">
        <v>114</v>
      </c>
      <c r="B45" s="123">
        <v>467.59</v>
      </c>
      <c r="C45" s="13">
        <v>1961.73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5">
        <f t="shared" si="0"/>
        <v>2429.32</v>
      </c>
      <c r="O45" s="24">
        <f>'Aug 19'!$N45+'Jul 19'!$O45</f>
        <v>5637.780000000001</v>
      </c>
    </row>
    <row r="46" spans="1:15" s="71" customFormat="1" ht="14.25" thickBot="1" thickTop="1">
      <c r="A46" s="175" t="s">
        <v>115</v>
      </c>
      <c r="B46" s="123">
        <v>590.1</v>
      </c>
      <c r="C46" s="13">
        <v>1961.73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5">
        <f t="shared" si="0"/>
        <v>2551.83</v>
      </c>
      <c r="O46" s="24">
        <f>'Aug 19'!$N46+'Jul 19'!$O46</f>
        <v>6155.3099999999995</v>
      </c>
    </row>
    <row r="47" spans="1:15" s="71" customFormat="1" ht="14.25" thickBot="1" thickTop="1">
      <c r="A47" s="175" t="s">
        <v>116</v>
      </c>
      <c r="B47" s="123">
        <v>452.27</v>
      </c>
      <c r="C47" s="13">
        <v>1961.73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5">
        <f t="shared" si="0"/>
        <v>2414</v>
      </c>
      <c r="O47" s="24">
        <f>'Aug 19'!$N47+'Jul 19'!$O47</f>
        <v>5591.82</v>
      </c>
    </row>
    <row r="48" spans="1:15" s="71" customFormat="1" ht="14.25" thickBot="1" thickTop="1">
      <c r="A48" s="175" t="s">
        <v>117</v>
      </c>
      <c r="B48" s="123">
        <v>444.61</v>
      </c>
      <c r="C48" s="13">
        <v>1961.73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5">
        <f t="shared" si="0"/>
        <v>2406.34</v>
      </c>
      <c r="O48" s="24">
        <f>'Aug 19'!$N48+'Jul 19'!$O48</f>
        <v>5568.84</v>
      </c>
    </row>
    <row r="49" spans="1:15" s="71" customFormat="1" ht="14.25" thickBot="1" thickTop="1">
      <c r="A49" s="175" t="s">
        <v>118</v>
      </c>
      <c r="B49" s="123">
        <v>444.61</v>
      </c>
      <c r="C49" s="13">
        <v>1961.73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5">
        <f t="shared" si="0"/>
        <v>2406.34</v>
      </c>
      <c r="O49" s="24">
        <f>'Aug 19'!$N49+'Jul 19'!$O49</f>
        <v>5568.84</v>
      </c>
    </row>
    <row r="50" spans="1:15" s="71" customFormat="1" ht="14.25" thickBot="1" thickTop="1">
      <c r="A50" s="175" t="s">
        <v>119</v>
      </c>
      <c r="B50" s="123">
        <v>444.61</v>
      </c>
      <c r="C50" s="13">
        <v>1961.73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5">
        <f t="shared" si="0"/>
        <v>2406.34</v>
      </c>
      <c r="O50" s="24">
        <f>'Aug 19'!$N50+'Jul 19'!$O50</f>
        <v>5568.84</v>
      </c>
    </row>
    <row r="51" spans="1:15" s="71" customFormat="1" ht="14.25" thickBot="1" thickTop="1">
      <c r="A51" s="175" t="s">
        <v>120</v>
      </c>
      <c r="B51" s="123">
        <v>444.61</v>
      </c>
      <c r="C51" s="13">
        <v>1961.73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5">
        <f t="shared" si="0"/>
        <v>2406.34</v>
      </c>
      <c r="O51" s="24">
        <f>'Aug 19'!$N51+'Jul 19'!$O51</f>
        <v>5568.84</v>
      </c>
    </row>
    <row r="52" spans="1:15" s="71" customFormat="1" ht="14.25" thickBot="1" thickTop="1">
      <c r="A52" s="175" t="s">
        <v>121</v>
      </c>
      <c r="B52" s="123">
        <v>444.61</v>
      </c>
      <c r="C52" s="13">
        <v>1961.73</v>
      </c>
      <c r="D52" s="100"/>
      <c r="E52" s="100">
        <v>77.55</v>
      </c>
      <c r="F52" s="100"/>
      <c r="G52" s="100"/>
      <c r="H52" s="100"/>
      <c r="I52" s="100"/>
      <c r="J52" s="100"/>
      <c r="K52" s="100"/>
      <c r="L52" s="100"/>
      <c r="M52" s="157">
        <v>500</v>
      </c>
      <c r="N52" s="15">
        <f t="shared" si="0"/>
        <v>2983.8900000000003</v>
      </c>
      <c r="O52" s="24">
        <f>'Aug 19'!$N52+'Jul 19'!$O52</f>
        <v>7146.39</v>
      </c>
    </row>
    <row r="53" spans="1:15" s="71" customFormat="1" ht="14.25" thickBot="1" thickTop="1">
      <c r="A53" s="175" t="s">
        <v>122</v>
      </c>
      <c r="B53" s="123">
        <v>444.61</v>
      </c>
      <c r="C53" s="13">
        <v>1961.73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5">
        <f t="shared" si="0"/>
        <v>2406.34</v>
      </c>
      <c r="O53" s="24">
        <f>'Aug 19'!$N53+'Jul 19'!$O53</f>
        <v>5568.84</v>
      </c>
    </row>
    <row r="54" spans="1:15" s="71" customFormat="1" ht="14.25" thickBot="1" thickTop="1">
      <c r="A54" s="175" t="s">
        <v>123</v>
      </c>
      <c r="B54" s="123">
        <v>444.61</v>
      </c>
      <c r="C54" s="13">
        <v>1961.73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5">
        <f t="shared" si="0"/>
        <v>2406.34</v>
      </c>
      <c r="O54" s="24">
        <f>'Aug 19'!$N54+'Jul 19'!$O54</f>
        <v>5568.84</v>
      </c>
    </row>
    <row r="55" spans="1:15" s="71" customFormat="1" ht="14.25" thickBot="1" thickTop="1">
      <c r="A55" s="175" t="s">
        <v>124</v>
      </c>
      <c r="B55" s="123">
        <v>444.61</v>
      </c>
      <c r="C55" s="13">
        <v>1961.73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5">
        <f t="shared" si="0"/>
        <v>2406.34</v>
      </c>
      <c r="O55" s="24">
        <f>'Aug 19'!$N55+'Jul 19'!$O55</f>
        <v>5568.84</v>
      </c>
    </row>
    <row r="56" spans="1:15" s="71" customFormat="1" ht="14.25" thickBot="1" thickTop="1">
      <c r="A56" s="175" t="s">
        <v>125</v>
      </c>
      <c r="B56" s="123">
        <v>666.67</v>
      </c>
      <c r="C56" s="13">
        <v>1961.73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5">
        <f t="shared" si="0"/>
        <v>2628.4</v>
      </c>
      <c r="O56" s="24">
        <f>'Aug 19'!$N56+'Jul 19'!$O56</f>
        <v>6235.02</v>
      </c>
    </row>
    <row r="57" spans="1:15" s="71" customFormat="1" ht="14.25" thickBot="1" thickTop="1">
      <c r="A57" s="175" t="s">
        <v>126</v>
      </c>
      <c r="B57" s="123">
        <v>482.9</v>
      </c>
      <c r="C57" s="13">
        <v>1961.73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5">
        <f t="shared" si="0"/>
        <v>2444.63</v>
      </c>
      <c r="O57" s="24">
        <f>'Aug 19'!$N57+'Jul 19'!$O57</f>
        <v>5683.71</v>
      </c>
    </row>
    <row r="58" spans="1:15" s="71" customFormat="1" ht="14.25" thickBot="1" thickTop="1">
      <c r="A58" s="175" t="s">
        <v>127</v>
      </c>
      <c r="B58" s="123">
        <v>444.61</v>
      </c>
      <c r="C58" s="13">
        <v>1961.73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5">
        <f t="shared" si="0"/>
        <v>2406.34</v>
      </c>
      <c r="O58" s="24">
        <f>'Aug 19'!$N58+'Jul 19'!$O58</f>
        <v>5568.84</v>
      </c>
    </row>
    <row r="59" spans="1:15" s="71" customFormat="1" ht="14.25" thickBot="1" thickTop="1">
      <c r="A59" s="175" t="s">
        <v>128</v>
      </c>
      <c r="B59" s="123">
        <v>444.61</v>
      </c>
      <c r="C59" s="13">
        <v>1961.73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5">
        <f t="shared" si="0"/>
        <v>2406.34</v>
      </c>
      <c r="O59" s="24">
        <f>'Aug 19'!$N59+'Jul 19'!$O59</f>
        <v>5568.84</v>
      </c>
    </row>
    <row r="60" spans="1:15" s="71" customFormat="1" ht="14.25" thickBot="1" thickTop="1">
      <c r="A60" s="175" t="s">
        <v>129</v>
      </c>
      <c r="B60" s="123">
        <v>444.61</v>
      </c>
      <c r="C60" s="13">
        <v>1961.73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5">
        <f t="shared" si="0"/>
        <v>2406.34</v>
      </c>
      <c r="O60" s="24">
        <f>'Aug 19'!$N60+'Jul 19'!$O60</f>
        <v>5568.84</v>
      </c>
    </row>
    <row r="61" spans="1:15" ht="14.25" thickBot="1" thickTop="1">
      <c r="A61" s="175"/>
      <c r="B61" s="97">
        <f aca="true" t="shared" si="1" ref="B61:O61">SUM(B3:B60)</f>
        <v>20788.070000000007</v>
      </c>
      <c r="C61" s="96">
        <f t="shared" si="1"/>
        <v>78469.20000000003</v>
      </c>
      <c r="D61" s="96">
        <f t="shared" si="1"/>
        <v>0</v>
      </c>
      <c r="E61" s="96">
        <f t="shared" si="1"/>
        <v>1083.23</v>
      </c>
      <c r="F61" s="96">
        <f t="shared" si="1"/>
        <v>0</v>
      </c>
      <c r="G61" s="96">
        <f t="shared" si="1"/>
        <v>3449.7</v>
      </c>
      <c r="H61" s="96">
        <f t="shared" si="1"/>
        <v>689.94</v>
      </c>
      <c r="I61" s="96">
        <f t="shared" si="1"/>
        <v>2069.82</v>
      </c>
      <c r="J61" s="96">
        <f t="shared" si="1"/>
        <v>2069.82</v>
      </c>
      <c r="K61" s="96">
        <f t="shared" si="1"/>
        <v>225</v>
      </c>
      <c r="L61" s="96">
        <f t="shared" si="1"/>
        <v>3337.67</v>
      </c>
      <c r="M61" s="96">
        <f t="shared" si="1"/>
        <v>2500</v>
      </c>
      <c r="N61" s="99">
        <f t="shared" si="1"/>
        <v>114682.44999999997</v>
      </c>
      <c r="O61" s="96">
        <f t="shared" si="1"/>
        <v>770509.6699999998</v>
      </c>
    </row>
    <row r="62" ht="13.5" thickTop="1"/>
  </sheetData>
  <sheetProtection/>
  <mergeCells count="1">
    <mergeCell ref="A1:N1"/>
  </mergeCells>
  <printOptions gridLines="1" headings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5" sqref="F15"/>
    </sheetView>
  </sheetViews>
  <sheetFormatPr defaultColWidth="12.7109375" defaultRowHeight="12.75"/>
  <cols>
    <col min="1" max="1" width="18.8515625" style="0" bestFit="1" customWidth="1"/>
    <col min="2" max="2" width="10.140625" style="0" bestFit="1" customWidth="1"/>
    <col min="3" max="3" width="16.57421875" style="0" bestFit="1" customWidth="1"/>
    <col min="4" max="4" width="11.421875" style="0" bestFit="1" customWidth="1"/>
    <col min="5" max="5" width="9.57421875" style="0" bestFit="1" customWidth="1"/>
    <col min="6" max="6" width="9.140625" style="0" bestFit="1" customWidth="1"/>
    <col min="7" max="7" width="12.8515625" style="0" bestFit="1" customWidth="1"/>
    <col min="8" max="8" width="12.00390625" style="0" bestFit="1" customWidth="1"/>
    <col min="9" max="10" width="10.57421875" style="0" bestFit="1" customWidth="1"/>
    <col min="11" max="11" width="10.57421875" style="0" customWidth="1"/>
    <col min="12" max="13" width="10.57421875" style="0" bestFit="1" customWidth="1"/>
    <col min="14" max="14" width="11.140625" style="0" bestFit="1" customWidth="1"/>
  </cols>
  <sheetData>
    <row r="1" spans="1:14" ht="18">
      <c r="A1" s="186" t="s">
        <v>110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6" customFormat="1" ht="52.5" customHeight="1" thickBot="1">
      <c r="A2" s="10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2" t="s">
        <v>59</v>
      </c>
      <c r="G2" s="12" t="s">
        <v>80</v>
      </c>
      <c r="H2" s="12" t="s">
        <v>90</v>
      </c>
      <c r="I2" s="12" t="s">
        <v>79</v>
      </c>
      <c r="J2" s="12" t="s">
        <v>57</v>
      </c>
      <c r="K2" s="12" t="s">
        <v>81</v>
      </c>
      <c r="L2" s="12" t="s">
        <v>3</v>
      </c>
      <c r="M2" s="12" t="s">
        <v>55</v>
      </c>
      <c r="N2" s="12" t="s">
        <v>4</v>
      </c>
      <c r="O2" s="21" t="s">
        <v>96</v>
      </c>
      <c r="P2" s="1"/>
      <c r="Q2" s="1"/>
    </row>
    <row r="3" spans="1:15" ht="12.75">
      <c r="A3" s="22" t="s">
        <v>7</v>
      </c>
      <c r="B3" s="122">
        <v>666</v>
      </c>
      <c r="C3" s="13">
        <v>0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aca="true" t="shared" si="0" ref="N3:N60">SUM(B3:M3)</f>
        <v>666</v>
      </c>
      <c r="O3" s="24">
        <f>'Sept 19'!$N3+'Aug 19'!$O3</f>
        <v>15371.41</v>
      </c>
    </row>
    <row r="4" spans="1:15" ht="12.75">
      <c r="A4" s="25" t="s">
        <v>8</v>
      </c>
      <c r="B4" s="122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1775.35</v>
      </c>
      <c r="O4" s="24">
        <f>'Sept 19'!$N4+'Aug 19'!$O4</f>
        <v>29781.61</v>
      </c>
    </row>
    <row r="5" spans="1:15" ht="12.75">
      <c r="A5" s="25" t="s">
        <v>100</v>
      </c>
      <c r="B5" s="122">
        <v>0</v>
      </c>
      <c r="C5" s="13">
        <v>0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4">
        <f>'Sept 19'!$N5+'Aug 19'!$O5</f>
        <v>10559.86</v>
      </c>
    </row>
    <row r="6" spans="1:15" ht="12.75">
      <c r="A6" s="22" t="s">
        <v>11</v>
      </c>
      <c r="B6" s="122">
        <v>444.61</v>
      </c>
      <c r="C6" s="13">
        <v>1330.74</v>
      </c>
      <c r="D6" s="13"/>
      <c r="E6" s="14"/>
      <c r="F6" s="13">
        <v>134.76</v>
      </c>
      <c r="G6" s="13"/>
      <c r="H6" s="13"/>
      <c r="I6" s="13">
        <v>1379.88</v>
      </c>
      <c r="J6" s="13"/>
      <c r="K6" s="13"/>
      <c r="L6" s="13"/>
      <c r="M6" s="13"/>
      <c r="N6" s="15">
        <f t="shared" si="0"/>
        <v>3289.99</v>
      </c>
      <c r="O6" s="24">
        <f>'Sept 19'!$N6+'Aug 19'!$O6</f>
        <v>42196.45</v>
      </c>
    </row>
    <row r="7" spans="1:15" ht="12.75">
      <c r="A7" s="25" t="s">
        <v>12</v>
      </c>
      <c r="B7" s="122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5">
        <f t="shared" si="0"/>
        <v>1997.4099999999999</v>
      </c>
      <c r="O7" s="24">
        <f>'Sept 19'!$N7+'Aug 19'!$O7</f>
        <v>34235.71</v>
      </c>
    </row>
    <row r="8" spans="1:15" ht="12.75">
      <c r="A8" s="25" t="s">
        <v>84</v>
      </c>
      <c r="B8" s="122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1775.35</v>
      </c>
      <c r="O8" s="24">
        <f>'Sept 19'!$N8+'Aug 19'!$O8</f>
        <v>17038.010000000002</v>
      </c>
    </row>
    <row r="9" spans="1:15" ht="12.75">
      <c r="A9" s="22" t="s">
        <v>83</v>
      </c>
      <c r="B9" s="122">
        <v>0</v>
      </c>
      <c r="C9" s="13">
        <v>0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4">
        <f>'Sept 19'!$N9+'Aug 19'!$O9</f>
        <v>13698.640000000001</v>
      </c>
    </row>
    <row r="10" spans="1:15" ht="12.75">
      <c r="A10" s="25" t="s">
        <v>14</v>
      </c>
      <c r="B10" s="122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1775.35</v>
      </c>
      <c r="O10" s="24">
        <f>'Sept 19'!$N10+'Aug 19'!$O10</f>
        <v>20498.67</v>
      </c>
    </row>
    <row r="11" spans="1:15" ht="12.75">
      <c r="A11" s="22" t="s">
        <v>15</v>
      </c>
      <c r="B11" s="122">
        <v>590.1</v>
      </c>
      <c r="C11" s="13">
        <v>1330.74</v>
      </c>
      <c r="D11" s="13"/>
      <c r="E11" s="14"/>
      <c r="F11" s="13"/>
      <c r="G11" s="13"/>
      <c r="H11" s="13"/>
      <c r="I11" s="13"/>
      <c r="J11" s="13">
        <v>459.96</v>
      </c>
      <c r="K11" s="13"/>
      <c r="L11" s="13"/>
      <c r="M11" s="13"/>
      <c r="N11" s="15">
        <f t="shared" si="0"/>
        <v>2380.8</v>
      </c>
      <c r="O11" s="24">
        <f>'Sept 19'!$N11+'Aug 19'!$O11</f>
        <v>20768.37</v>
      </c>
    </row>
    <row r="12" spans="1:15" ht="12.75">
      <c r="A12" s="25" t="s">
        <v>16</v>
      </c>
      <c r="B12" s="122">
        <v>746.29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2077.0299999999997</v>
      </c>
      <c r="O12" s="24">
        <f>'Sept 19'!$N12+'Aug 19'!$O12</f>
        <v>21149.21</v>
      </c>
    </row>
    <row r="13" spans="1:15" ht="12.75">
      <c r="A13" s="22" t="s">
        <v>17</v>
      </c>
      <c r="B13" s="122">
        <v>749.24</v>
      </c>
      <c r="C13" s="13">
        <v>1330.74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2079.98</v>
      </c>
      <c r="O13" s="24">
        <f>'Sept 19'!$N13+'Aug 19'!$O13</f>
        <v>24806.4</v>
      </c>
    </row>
    <row r="14" spans="1:15" ht="12.75">
      <c r="A14" s="25" t="s">
        <v>18</v>
      </c>
      <c r="B14" s="122">
        <v>0</v>
      </c>
      <c r="C14" s="13">
        <v>0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4">
        <f>'Sept 19'!$N14+'Aug 19'!$O14</f>
        <v>14391.010000000002</v>
      </c>
    </row>
    <row r="15" spans="1:15" ht="12.75">
      <c r="A15" s="22" t="s">
        <v>19</v>
      </c>
      <c r="B15" s="122">
        <v>0</v>
      </c>
      <c r="C15" s="13">
        <v>0</v>
      </c>
      <c r="D15" s="13"/>
      <c r="E15" s="14"/>
      <c r="F15" s="13">
        <v>134.76</v>
      </c>
      <c r="G15" s="13"/>
      <c r="H15" s="13"/>
      <c r="I15" s="13"/>
      <c r="J15" s="13"/>
      <c r="K15" s="13"/>
      <c r="L15" s="13"/>
      <c r="M15" s="13"/>
      <c r="N15" s="15">
        <f t="shared" si="0"/>
        <v>134.76</v>
      </c>
      <c r="O15" s="24">
        <f>'Sept 19'!$N15+'Aug 19'!$O15</f>
        <v>10280.27</v>
      </c>
    </row>
    <row r="16" spans="1:15" ht="12.75">
      <c r="A16" s="22" t="s">
        <v>93</v>
      </c>
      <c r="B16" s="122">
        <v>0</v>
      </c>
      <c r="C16" s="13">
        <v>0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4">
        <f>'Sept 19'!$N16+'Aug 19'!$O16</f>
        <v>10293.810000000001</v>
      </c>
    </row>
    <row r="17" spans="1:15" ht="12.75">
      <c r="A17" s="25" t="s">
        <v>20</v>
      </c>
      <c r="B17" s="122">
        <v>0</v>
      </c>
      <c r="C17" s="13">
        <v>0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4">
        <f>'Sept 19'!$N17+'Aug 19'!$O17</f>
        <v>10282.48</v>
      </c>
    </row>
    <row r="18" spans="1:15" ht="12.75">
      <c r="A18" s="22" t="s">
        <v>21</v>
      </c>
      <c r="B18" s="122">
        <v>0</v>
      </c>
      <c r="C18" s="13">
        <v>0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4">
        <f>'Sept 19'!$N18+'Aug 19'!$O18</f>
        <v>12378.43</v>
      </c>
    </row>
    <row r="19" spans="1:15" ht="12.75">
      <c r="A19" s="25" t="s">
        <v>22</v>
      </c>
      <c r="B19" s="122">
        <v>551.81</v>
      </c>
      <c r="C19" s="13">
        <v>1330.74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1882.55</v>
      </c>
      <c r="O19" s="24">
        <f>'Sept 19'!$N19+'Aug 19'!$O19</f>
        <v>17710.46</v>
      </c>
    </row>
    <row r="20" spans="1:15" ht="12.75">
      <c r="A20" s="22" t="s">
        <v>23</v>
      </c>
      <c r="B20" s="122">
        <v>0</v>
      </c>
      <c r="C20" s="13">
        <v>0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4">
        <f>'Sept 19'!$N20+'Aug 19'!$O20</f>
        <v>9790.6</v>
      </c>
    </row>
    <row r="21" spans="1:15" ht="12.75">
      <c r="A21" s="25" t="s">
        <v>24</v>
      </c>
      <c r="B21" s="122">
        <v>444.61</v>
      </c>
      <c r="C21" s="13">
        <v>1330.74</v>
      </c>
      <c r="D21" s="16"/>
      <c r="E21" s="17">
        <v>80.62</v>
      </c>
      <c r="F21" s="16"/>
      <c r="G21" s="16"/>
      <c r="H21" s="16"/>
      <c r="I21" s="16"/>
      <c r="J21" s="16"/>
      <c r="K21" s="16"/>
      <c r="L21" s="16"/>
      <c r="M21" s="16">
        <v>500</v>
      </c>
      <c r="N21" s="15">
        <f t="shared" si="0"/>
        <v>2355.97</v>
      </c>
      <c r="O21" s="24">
        <f>'Sept 19'!$N21+'Aug 19'!$O21</f>
        <v>21246.870000000003</v>
      </c>
    </row>
    <row r="22" spans="1:15" ht="12.75">
      <c r="A22" s="22" t="s">
        <v>25</v>
      </c>
      <c r="B22" s="122">
        <v>0</v>
      </c>
      <c r="C22" s="13">
        <v>0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4">
        <f>'Sept 19'!$N22+'Aug 19'!$O22</f>
        <v>10196.36</v>
      </c>
    </row>
    <row r="23" spans="1:15" ht="12.75">
      <c r="A23" s="25" t="s">
        <v>26</v>
      </c>
      <c r="B23" s="122">
        <v>0</v>
      </c>
      <c r="C23" s="13">
        <v>0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4">
        <f>'Sept 19'!$N23+'Aug 19'!$O23</f>
        <v>11123.02</v>
      </c>
    </row>
    <row r="24" spans="1:15" ht="12.75">
      <c r="A24" s="22" t="s">
        <v>27</v>
      </c>
      <c r="B24" s="122">
        <v>0</v>
      </c>
      <c r="C24" s="13">
        <v>0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4">
        <f>'Sept 19'!$N24+'Aug 19'!$O24</f>
        <v>9728.810000000001</v>
      </c>
    </row>
    <row r="25" spans="1:15" ht="12.75">
      <c r="A25" s="25" t="s">
        <v>28</v>
      </c>
      <c r="B25" s="122">
        <v>0</v>
      </c>
      <c r="C25" s="13">
        <v>0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4">
        <f>'Sept 19'!$N25+'Aug 19'!$O25</f>
        <v>11102.28</v>
      </c>
    </row>
    <row r="26" spans="1:15" ht="12.75">
      <c r="A26" s="22" t="s">
        <v>29</v>
      </c>
      <c r="B26" s="122">
        <v>567.13</v>
      </c>
      <c r="C26" s="13">
        <v>1330.74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1897.87</v>
      </c>
      <c r="O26" s="24">
        <f>'Sept 19'!$N26+'Aug 19'!$O26</f>
        <v>17604.62</v>
      </c>
    </row>
    <row r="27" spans="1:15" ht="12.75">
      <c r="A27" s="22" t="s">
        <v>31</v>
      </c>
      <c r="B27" s="122">
        <v>0</v>
      </c>
      <c r="C27" s="13">
        <v>0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4">
        <f>'Sept 19'!$N27+'Aug 19'!$O27</f>
        <v>12019.580000000002</v>
      </c>
    </row>
    <row r="28" spans="1:15" ht="12.75">
      <c r="A28" s="25" t="s">
        <v>32</v>
      </c>
      <c r="B28" s="122">
        <v>459.93</v>
      </c>
      <c r="C28" s="13">
        <v>1330.74</v>
      </c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1790.67</v>
      </c>
      <c r="O28" s="24">
        <f>'Sept 19'!$N28+'Aug 19'!$O28</f>
        <v>16053.83</v>
      </c>
    </row>
    <row r="29" spans="1:15" ht="12.75">
      <c r="A29" s="22" t="s">
        <v>33</v>
      </c>
      <c r="B29" s="122">
        <v>444.61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1775.35</v>
      </c>
      <c r="O29" s="24">
        <f>'Sept 19'!$N29+'Aug 19'!$O29</f>
        <v>15468.48</v>
      </c>
    </row>
    <row r="30" spans="1:15" ht="12.75">
      <c r="A30" s="25" t="s">
        <v>34</v>
      </c>
      <c r="B30" s="122">
        <v>0</v>
      </c>
      <c r="C30" s="13">
        <v>0</v>
      </c>
      <c r="D30" s="19"/>
      <c r="E30" s="17"/>
      <c r="F30" s="20"/>
      <c r="G30" s="20"/>
      <c r="H30" s="16"/>
      <c r="I30" s="16"/>
      <c r="J30" s="16"/>
      <c r="K30" s="16"/>
      <c r="L30" s="20"/>
      <c r="M30" s="20"/>
      <c r="N30" s="15">
        <f t="shared" si="0"/>
        <v>0</v>
      </c>
      <c r="O30" s="24">
        <f>'Sept 19'!$N30+'Aug 19'!$O30</f>
        <v>13200.71</v>
      </c>
    </row>
    <row r="31" spans="1:15" ht="12.75">
      <c r="A31" s="22" t="s">
        <v>35</v>
      </c>
      <c r="B31" s="122">
        <v>559.47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1890.21</v>
      </c>
      <c r="O31" s="24">
        <f>'Sept 19'!$N31+'Aug 19'!$O31</f>
        <v>17983.97</v>
      </c>
    </row>
    <row r="32" spans="1:15" ht="12.75">
      <c r="A32" s="25" t="s">
        <v>36</v>
      </c>
      <c r="B32" s="122">
        <v>444.61</v>
      </c>
      <c r="C32" s="13">
        <v>1330.74</v>
      </c>
      <c r="D32" s="16"/>
      <c r="E32" s="17">
        <v>123.48</v>
      </c>
      <c r="F32" s="16"/>
      <c r="G32" s="16"/>
      <c r="H32" s="16"/>
      <c r="I32" s="16"/>
      <c r="J32" s="16"/>
      <c r="K32" s="16"/>
      <c r="L32" s="16"/>
      <c r="M32" s="16">
        <v>500</v>
      </c>
      <c r="N32" s="15">
        <f t="shared" si="0"/>
        <v>2398.83</v>
      </c>
      <c r="O32" s="24">
        <f>'Sept 19'!$N32+'Aug 19'!$O32</f>
        <v>25802.269999999997</v>
      </c>
    </row>
    <row r="33" spans="1:15" ht="12.75">
      <c r="A33" s="25" t="s">
        <v>82</v>
      </c>
      <c r="B33" s="122">
        <v>0</v>
      </c>
      <c r="C33" s="13">
        <v>0</v>
      </c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4">
        <f>'Sept 19'!$N33+'Aug 19'!$O33</f>
        <v>9943.810000000001</v>
      </c>
    </row>
    <row r="34" spans="1:15" ht="12.75">
      <c r="A34" s="22" t="s">
        <v>39</v>
      </c>
      <c r="B34" s="122">
        <v>659.01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>
        <v>500</v>
      </c>
      <c r="N34" s="15">
        <f t="shared" si="0"/>
        <v>2489.75</v>
      </c>
      <c r="O34" s="24">
        <f>'Sept 19'!$N34+'Aug 19'!$O34</f>
        <v>24261.9</v>
      </c>
    </row>
    <row r="35" spans="1:15" ht="12.75">
      <c r="A35" s="25" t="s">
        <v>40</v>
      </c>
      <c r="B35" s="122">
        <v>707.9</v>
      </c>
      <c r="C35" s="13">
        <v>1330.74</v>
      </c>
      <c r="D35" s="13"/>
      <c r="E35" s="14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5">
        <f t="shared" si="0"/>
        <v>2998.6</v>
      </c>
      <c r="O35" s="24">
        <f>'Sept 19'!$N35+'Aug 19'!$O35</f>
        <v>27712.44</v>
      </c>
    </row>
    <row r="36" spans="1:15" ht="12.75">
      <c r="A36" s="22" t="s">
        <v>41</v>
      </c>
      <c r="B36" s="122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1775.35</v>
      </c>
      <c r="O36" s="24">
        <f>'Sept 19'!$N36+'Aug 19'!$O36</f>
        <v>17173.38</v>
      </c>
    </row>
    <row r="37" spans="1:15" ht="12.75">
      <c r="A37" s="25" t="s">
        <v>42</v>
      </c>
      <c r="B37" s="122">
        <v>725.62</v>
      </c>
      <c r="C37" s="13">
        <v>1330.74</v>
      </c>
      <c r="D37" s="13"/>
      <c r="E37" s="106"/>
      <c r="F37" s="160"/>
      <c r="G37" s="13"/>
      <c r="H37" s="13"/>
      <c r="I37" s="13"/>
      <c r="J37" s="13"/>
      <c r="K37" s="13"/>
      <c r="L37" s="13"/>
      <c r="M37" s="13"/>
      <c r="N37" s="15">
        <f t="shared" si="0"/>
        <v>2056.36</v>
      </c>
      <c r="O37" s="24">
        <f>'Sept 19'!$N37+'Aug 19'!$O37</f>
        <v>25674.749999999996</v>
      </c>
    </row>
    <row r="38" spans="1:15" ht="12.75">
      <c r="A38" s="22" t="s">
        <v>43</v>
      </c>
      <c r="B38" s="122">
        <v>544.15</v>
      </c>
      <c r="C38" s="13">
        <v>1330.74</v>
      </c>
      <c r="D38" s="104"/>
      <c r="E38" s="73"/>
      <c r="F38" s="27"/>
      <c r="G38" s="27"/>
      <c r="H38" s="27"/>
      <c r="I38" s="27"/>
      <c r="J38" s="27">
        <v>459.96</v>
      </c>
      <c r="K38" s="27"/>
      <c r="L38" s="27"/>
      <c r="M38" s="27"/>
      <c r="N38" s="15">
        <f t="shared" si="0"/>
        <v>2334.85</v>
      </c>
      <c r="O38" s="24">
        <f>'Sept 19'!$N38+'Aug 19'!$O38</f>
        <v>19490.649999999998</v>
      </c>
    </row>
    <row r="39" spans="1:15" ht="12.75">
      <c r="A39" s="25" t="s">
        <v>44</v>
      </c>
      <c r="B39" s="122">
        <v>528.84</v>
      </c>
      <c r="C39" s="13">
        <v>1330.74</v>
      </c>
      <c r="D39" s="101"/>
      <c r="E39" s="72"/>
      <c r="F39" s="105">
        <v>1549.82</v>
      </c>
      <c r="G39" s="73">
        <v>2299.8</v>
      </c>
      <c r="H39" s="73"/>
      <c r="I39" s="73"/>
      <c r="J39" s="73"/>
      <c r="K39" s="73"/>
      <c r="L39" s="73"/>
      <c r="M39" s="73"/>
      <c r="N39" s="15">
        <f t="shared" si="0"/>
        <v>5709.2</v>
      </c>
      <c r="O39" s="24">
        <f>'Sept 19'!$N39+'Aug 19'!$O39</f>
        <v>32173.440000000002</v>
      </c>
    </row>
    <row r="40" spans="1:15" ht="12.75">
      <c r="A40" s="22" t="s">
        <v>45</v>
      </c>
      <c r="B40" s="122">
        <v>0</v>
      </c>
      <c r="C40" s="13">
        <v>0</v>
      </c>
      <c r="D40" s="73"/>
      <c r="E40" s="73"/>
      <c r="F40" s="122"/>
      <c r="G40" s="73"/>
      <c r="H40" s="73"/>
      <c r="I40" s="73"/>
      <c r="J40" s="73"/>
      <c r="K40" s="73"/>
      <c r="L40" s="73"/>
      <c r="M40" s="73"/>
      <c r="N40" s="15">
        <f t="shared" si="0"/>
        <v>0</v>
      </c>
      <c r="O40" s="24">
        <f>'Sept 19'!$N40+'Aug 19'!$O40</f>
        <v>9847.25</v>
      </c>
    </row>
    <row r="41" spans="1:15" ht="12.75">
      <c r="A41" s="87" t="s">
        <v>46</v>
      </c>
      <c r="B41" s="122">
        <v>459.93</v>
      </c>
      <c r="C41" s="13">
        <v>1330.74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5">
        <f t="shared" si="0"/>
        <v>1790.67</v>
      </c>
      <c r="O41" s="24">
        <f>'Sept 19'!$N41+'Aug 19'!$O41</f>
        <v>18755.83</v>
      </c>
    </row>
    <row r="42" spans="1:15" s="70" customFormat="1" ht="13.5" thickBot="1">
      <c r="A42" s="102" t="s">
        <v>91</v>
      </c>
      <c r="B42" s="123">
        <v>643.69</v>
      </c>
      <c r="C42" s="13">
        <v>1330.74</v>
      </c>
      <c r="D42" s="158"/>
      <c r="E42" s="100">
        <v>413.73</v>
      </c>
      <c r="F42" s="159">
        <v>3106.13</v>
      </c>
      <c r="G42" s="100"/>
      <c r="H42" s="157">
        <v>459.96</v>
      </c>
      <c r="I42" s="100"/>
      <c r="K42" s="100"/>
      <c r="L42" s="100"/>
      <c r="M42" s="100"/>
      <c r="N42" s="15">
        <f t="shared" si="0"/>
        <v>5954.25</v>
      </c>
      <c r="O42" s="24">
        <f>'Sept 19'!$N42+'Aug 19'!$O42</f>
        <v>28059.25</v>
      </c>
    </row>
    <row r="43" spans="1:15" s="70" customFormat="1" ht="14.25" thickBot="1" thickTop="1">
      <c r="A43" s="178" t="s">
        <v>130</v>
      </c>
      <c r="B43" s="123"/>
      <c r="C43" s="13"/>
      <c r="D43" s="158"/>
      <c r="E43" s="100"/>
      <c r="F43" s="159"/>
      <c r="G43" s="100"/>
      <c r="H43" s="100"/>
      <c r="I43" s="100"/>
      <c r="J43" s="157"/>
      <c r="K43" s="100"/>
      <c r="L43" s="100"/>
      <c r="M43" s="100"/>
      <c r="N43" s="15">
        <f t="shared" si="0"/>
        <v>0</v>
      </c>
      <c r="O43" s="24">
        <f>'Sept 19'!$N43+'Aug 19'!$O43</f>
        <v>0</v>
      </c>
    </row>
    <row r="44" spans="1:15" s="70" customFormat="1" ht="14.25" thickBot="1" thickTop="1">
      <c r="A44" s="175" t="s">
        <v>113</v>
      </c>
      <c r="B44" s="123">
        <v>444.61</v>
      </c>
      <c r="C44" s="13">
        <v>1330.74</v>
      </c>
      <c r="D44" s="158"/>
      <c r="E44" s="100"/>
      <c r="F44" s="159"/>
      <c r="G44" s="100"/>
      <c r="H44" s="100"/>
      <c r="I44" s="100"/>
      <c r="J44" s="157"/>
      <c r="K44" s="100"/>
      <c r="L44" s="100"/>
      <c r="M44" s="100"/>
      <c r="N44" s="15">
        <f t="shared" si="0"/>
        <v>1775.35</v>
      </c>
      <c r="O44" s="24">
        <f>'Sept 19'!$N44+'Aug 19'!$O44</f>
        <v>7344.1900000000005</v>
      </c>
    </row>
    <row r="45" spans="1:15" s="70" customFormat="1" ht="14.25" thickBot="1" thickTop="1">
      <c r="A45" s="175" t="s">
        <v>114</v>
      </c>
      <c r="B45" s="123">
        <v>467.59</v>
      </c>
      <c r="C45" s="13">
        <v>1330.74</v>
      </c>
      <c r="D45" s="158"/>
      <c r="E45" s="100"/>
      <c r="F45" s="159"/>
      <c r="G45" s="100"/>
      <c r="H45" s="100"/>
      <c r="I45" s="100"/>
      <c r="J45" s="157"/>
      <c r="K45" s="100"/>
      <c r="L45" s="100"/>
      <c r="M45" s="100"/>
      <c r="N45" s="15">
        <f t="shared" si="0"/>
        <v>1798.33</v>
      </c>
      <c r="O45" s="24">
        <f>'Sept 19'!$N45+'Aug 19'!$O45</f>
        <v>7436.110000000001</v>
      </c>
    </row>
    <row r="46" spans="1:15" s="70" customFormat="1" ht="14.25" thickBot="1" thickTop="1">
      <c r="A46" s="175" t="s">
        <v>115</v>
      </c>
      <c r="B46" s="123">
        <v>590.1</v>
      </c>
      <c r="C46" s="13">
        <v>1330.74</v>
      </c>
      <c r="D46" s="158"/>
      <c r="E46" s="100"/>
      <c r="F46" s="159"/>
      <c r="G46" s="100"/>
      <c r="H46" s="100"/>
      <c r="I46" s="100"/>
      <c r="J46" s="157"/>
      <c r="K46" s="100"/>
      <c r="L46" s="100"/>
      <c r="M46" s="100"/>
      <c r="N46" s="15">
        <f t="shared" si="0"/>
        <v>1920.8400000000001</v>
      </c>
      <c r="O46" s="24">
        <f>'Sept 19'!$N46+'Aug 19'!$O46</f>
        <v>8076.15</v>
      </c>
    </row>
    <row r="47" spans="1:15" s="70" customFormat="1" ht="14.25" thickBot="1" thickTop="1">
      <c r="A47" s="175" t="s">
        <v>116</v>
      </c>
      <c r="B47" s="123">
        <v>452.27</v>
      </c>
      <c r="C47" s="13">
        <v>1330.74</v>
      </c>
      <c r="D47" s="158"/>
      <c r="E47" s="100"/>
      <c r="F47" s="159"/>
      <c r="G47" s="100"/>
      <c r="H47" s="100"/>
      <c r="I47" s="100"/>
      <c r="J47" s="157"/>
      <c r="K47" s="100"/>
      <c r="L47" s="100"/>
      <c r="M47" s="100"/>
      <c r="N47" s="15">
        <f t="shared" si="0"/>
        <v>1783.01</v>
      </c>
      <c r="O47" s="24">
        <f>'Sept 19'!$N47+'Aug 19'!$O47</f>
        <v>7374.83</v>
      </c>
    </row>
    <row r="48" spans="1:15" s="70" customFormat="1" ht="14.25" thickBot="1" thickTop="1">
      <c r="A48" s="175" t="s">
        <v>117</v>
      </c>
      <c r="B48" s="123">
        <v>444.61</v>
      </c>
      <c r="C48" s="13">
        <v>1330.74</v>
      </c>
      <c r="D48" s="158"/>
      <c r="E48" s="100"/>
      <c r="F48" s="159"/>
      <c r="G48" s="100"/>
      <c r="H48" s="100"/>
      <c r="I48" s="100"/>
      <c r="J48" s="157"/>
      <c r="K48" s="100"/>
      <c r="L48" s="100"/>
      <c r="M48" s="100"/>
      <c r="N48" s="15">
        <f t="shared" si="0"/>
        <v>1775.35</v>
      </c>
      <c r="O48" s="24">
        <f>'Sept 19'!$N48+'Aug 19'!$O48</f>
        <v>7344.1900000000005</v>
      </c>
    </row>
    <row r="49" spans="1:15" s="70" customFormat="1" ht="14.25" thickBot="1" thickTop="1">
      <c r="A49" s="175" t="s">
        <v>118</v>
      </c>
      <c r="B49" s="123">
        <v>444.61</v>
      </c>
      <c r="C49" s="13">
        <v>1330.74</v>
      </c>
      <c r="D49" s="158"/>
      <c r="E49" s="100">
        <v>85.7</v>
      </c>
      <c r="F49" s="159"/>
      <c r="G49" s="100"/>
      <c r="H49" s="100"/>
      <c r="I49" s="100"/>
      <c r="J49" s="157"/>
      <c r="K49" s="100"/>
      <c r="L49" s="100"/>
      <c r="M49" s="100"/>
      <c r="N49" s="15">
        <f t="shared" si="0"/>
        <v>1861.05</v>
      </c>
      <c r="O49" s="24">
        <f>'Sept 19'!$N49+'Aug 19'!$O49</f>
        <v>7429.89</v>
      </c>
    </row>
    <row r="50" spans="1:15" s="70" customFormat="1" ht="14.25" thickBot="1" thickTop="1">
      <c r="A50" s="175" t="s">
        <v>119</v>
      </c>
      <c r="B50" s="123">
        <v>444.61</v>
      </c>
      <c r="C50" s="13">
        <v>1330.74</v>
      </c>
      <c r="D50" s="158"/>
      <c r="E50" s="100">
        <v>103.97</v>
      </c>
      <c r="F50" s="159"/>
      <c r="G50" s="100"/>
      <c r="H50" s="100"/>
      <c r="I50" s="100"/>
      <c r="J50" s="157"/>
      <c r="K50" s="100"/>
      <c r="L50" s="100"/>
      <c r="M50" s="100"/>
      <c r="N50" s="15">
        <f t="shared" si="0"/>
        <v>1879.32</v>
      </c>
      <c r="O50" s="24">
        <f>'Sept 19'!$N50+'Aug 19'!$O50</f>
        <v>7448.16</v>
      </c>
    </row>
    <row r="51" spans="1:15" s="70" customFormat="1" ht="14.25" thickBot="1" thickTop="1">
      <c r="A51" s="175" t="s">
        <v>120</v>
      </c>
      <c r="B51" s="123">
        <v>444.61</v>
      </c>
      <c r="C51" s="13">
        <v>1330.74</v>
      </c>
      <c r="D51" s="158"/>
      <c r="E51" s="100"/>
      <c r="F51" s="159"/>
      <c r="G51" s="100"/>
      <c r="H51" s="100"/>
      <c r="I51" s="100"/>
      <c r="J51" s="157"/>
      <c r="K51" s="100"/>
      <c r="L51" s="100"/>
      <c r="M51" s="100"/>
      <c r="N51" s="15">
        <f t="shared" si="0"/>
        <v>1775.35</v>
      </c>
      <c r="O51" s="24">
        <f>'Sept 19'!$N51+'Aug 19'!$O51</f>
        <v>7344.1900000000005</v>
      </c>
    </row>
    <row r="52" spans="1:15" s="70" customFormat="1" ht="14.25" thickBot="1" thickTop="1">
      <c r="A52" s="175" t="s">
        <v>121</v>
      </c>
      <c r="B52" s="123">
        <v>444.61</v>
      </c>
      <c r="C52" s="13">
        <v>1330.74</v>
      </c>
      <c r="D52" s="158"/>
      <c r="E52" s="100"/>
      <c r="F52" s="159"/>
      <c r="G52" s="100"/>
      <c r="H52" s="100"/>
      <c r="I52" s="100"/>
      <c r="J52" s="157"/>
      <c r="K52" s="100"/>
      <c r="L52" s="100"/>
      <c r="M52" s="157">
        <v>500</v>
      </c>
      <c r="N52" s="15">
        <f t="shared" si="0"/>
        <v>2275.35</v>
      </c>
      <c r="O52" s="24">
        <f>'Sept 19'!$N52+'Aug 19'!$O52</f>
        <v>9421.74</v>
      </c>
    </row>
    <row r="53" spans="1:15" s="70" customFormat="1" ht="14.25" thickBot="1" thickTop="1">
      <c r="A53" s="175" t="s">
        <v>122</v>
      </c>
      <c r="B53" s="123">
        <v>444.61</v>
      </c>
      <c r="C53" s="13">
        <v>1330.74</v>
      </c>
      <c r="D53" s="158"/>
      <c r="E53" s="100"/>
      <c r="F53" s="159"/>
      <c r="G53" s="100"/>
      <c r="H53" s="100"/>
      <c r="I53" s="100"/>
      <c r="J53" s="157"/>
      <c r="K53" s="100"/>
      <c r="L53" s="100"/>
      <c r="M53" s="100"/>
      <c r="N53" s="15">
        <f t="shared" si="0"/>
        <v>1775.35</v>
      </c>
      <c r="O53" s="24">
        <f>'Sept 19'!$N53+'Aug 19'!$O53</f>
        <v>7344.1900000000005</v>
      </c>
    </row>
    <row r="54" spans="1:15" s="70" customFormat="1" ht="14.25" thickBot="1" thickTop="1">
      <c r="A54" s="175" t="s">
        <v>123</v>
      </c>
      <c r="B54" s="123">
        <v>444.61</v>
      </c>
      <c r="C54" s="13">
        <v>1330.74</v>
      </c>
      <c r="D54" s="158"/>
      <c r="E54" s="100"/>
      <c r="F54" s="159"/>
      <c r="G54" s="100"/>
      <c r="H54" s="100"/>
      <c r="I54" s="100"/>
      <c r="J54" s="157"/>
      <c r="K54" s="100"/>
      <c r="L54" s="100"/>
      <c r="M54" s="100"/>
      <c r="N54" s="15">
        <f t="shared" si="0"/>
        <v>1775.35</v>
      </c>
      <c r="O54" s="24">
        <f>'Sept 19'!$N54+'Aug 19'!$O54</f>
        <v>7344.1900000000005</v>
      </c>
    </row>
    <row r="55" spans="1:15" s="70" customFormat="1" ht="14.25" thickBot="1" thickTop="1">
      <c r="A55" s="175" t="s">
        <v>124</v>
      </c>
      <c r="B55" s="123">
        <v>444.61</v>
      </c>
      <c r="C55" s="13">
        <v>1330.74</v>
      </c>
      <c r="D55" s="158"/>
      <c r="E55" s="100"/>
      <c r="F55" s="159"/>
      <c r="G55" s="100"/>
      <c r="H55" s="100"/>
      <c r="I55" s="100"/>
      <c r="J55" s="157"/>
      <c r="K55" s="100"/>
      <c r="L55" s="100"/>
      <c r="M55" s="100"/>
      <c r="N55" s="15">
        <f t="shared" si="0"/>
        <v>1775.35</v>
      </c>
      <c r="O55" s="24">
        <f>'Sept 19'!$N55+'Aug 19'!$O55</f>
        <v>7344.1900000000005</v>
      </c>
    </row>
    <row r="56" spans="1:15" s="70" customFormat="1" ht="14.25" thickBot="1" thickTop="1">
      <c r="A56" s="175" t="s">
        <v>125</v>
      </c>
      <c r="B56" s="123">
        <v>666.67</v>
      </c>
      <c r="C56" s="13">
        <v>1330.74</v>
      </c>
      <c r="D56" s="158"/>
      <c r="E56" s="100"/>
      <c r="F56" s="159"/>
      <c r="G56" s="100"/>
      <c r="H56" s="100"/>
      <c r="I56" s="100"/>
      <c r="J56" s="157"/>
      <c r="K56" s="100"/>
      <c r="L56" s="100"/>
      <c r="M56" s="100"/>
      <c r="N56" s="15">
        <f t="shared" si="0"/>
        <v>1997.4099999999999</v>
      </c>
      <c r="O56" s="24">
        <f>'Sept 19'!$N56+'Aug 19'!$O56</f>
        <v>8232.43</v>
      </c>
    </row>
    <row r="57" spans="1:15" s="70" customFormat="1" ht="14.25" thickBot="1" thickTop="1">
      <c r="A57" s="175" t="s">
        <v>126</v>
      </c>
      <c r="B57" s="123">
        <v>482.9</v>
      </c>
      <c r="C57" s="13">
        <v>1330.74</v>
      </c>
      <c r="D57" s="158"/>
      <c r="E57" s="100">
        <v>64.56</v>
      </c>
      <c r="F57" s="159"/>
      <c r="G57" s="100"/>
      <c r="H57" s="100"/>
      <c r="I57" s="100"/>
      <c r="J57" s="157"/>
      <c r="K57" s="100"/>
      <c r="L57" s="100"/>
      <c r="M57" s="100"/>
      <c r="N57" s="15">
        <f t="shared" si="0"/>
        <v>1878.1999999999998</v>
      </c>
      <c r="O57" s="24">
        <f>'Sept 19'!$N57+'Aug 19'!$O57</f>
        <v>7561.91</v>
      </c>
    </row>
    <row r="58" spans="1:15" s="70" customFormat="1" ht="14.25" thickBot="1" thickTop="1">
      <c r="A58" s="175" t="s">
        <v>127</v>
      </c>
      <c r="B58" s="123">
        <v>444.61</v>
      </c>
      <c r="C58" s="13">
        <v>1330.74</v>
      </c>
      <c r="D58" s="158"/>
      <c r="E58" s="100"/>
      <c r="F58" s="159"/>
      <c r="G58" s="100"/>
      <c r="H58" s="100"/>
      <c r="I58" s="100"/>
      <c r="J58" s="157"/>
      <c r="K58" s="100"/>
      <c r="L58" s="100"/>
      <c r="M58" s="100"/>
      <c r="N58" s="15">
        <f t="shared" si="0"/>
        <v>1775.35</v>
      </c>
      <c r="O58" s="24">
        <f>'Sept 19'!$N58+'Aug 19'!$O58</f>
        <v>7344.1900000000005</v>
      </c>
    </row>
    <row r="59" spans="1:15" s="70" customFormat="1" ht="14.25" thickBot="1" thickTop="1">
      <c r="A59" s="175" t="s">
        <v>128</v>
      </c>
      <c r="B59" s="123">
        <v>444.61</v>
      </c>
      <c r="C59" s="13">
        <v>1330.74</v>
      </c>
      <c r="D59" s="158"/>
      <c r="E59" s="100"/>
      <c r="F59" s="159"/>
      <c r="G59" s="100"/>
      <c r="H59" s="100"/>
      <c r="I59" s="100"/>
      <c r="J59" s="157"/>
      <c r="K59" s="100"/>
      <c r="L59" s="100"/>
      <c r="M59" s="100"/>
      <c r="N59" s="15">
        <f t="shared" si="0"/>
        <v>1775.35</v>
      </c>
      <c r="O59" s="24">
        <f>'Sept 19'!$N59+'Aug 19'!$O59</f>
        <v>7344.1900000000005</v>
      </c>
    </row>
    <row r="60" spans="1:15" s="70" customFormat="1" ht="14.25" thickBot="1" thickTop="1">
      <c r="A60" s="175" t="s">
        <v>129</v>
      </c>
      <c r="B60" s="123">
        <v>444.61</v>
      </c>
      <c r="C60" s="13">
        <v>1330.74</v>
      </c>
      <c r="D60" s="158"/>
      <c r="E60" s="100"/>
      <c r="F60" s="159"/>
      <c r="G60" s="100"/>
      <c r="H60" s="100"/>
      <c r="I60" s="100"/>
      <c r="J60" s="157"/>
      <c r="K60" s="100"/>
      <c r="L60" s="100"/>
      <c r="M60" s="100"/>
      <c r="N60" s="15">
        <f t="shared" si="0"/>
        <v>1775.35</v>
      </c>
      <c r="O60" s="24">
        <f>'Sept 19'!$N60+'Aug 19'!$O60</f>
        <v>7344.1900000000005</v>
      </c>
    </row>
    <row r="61" spans="1:15" ht="14.25" thickBot="1" thickTop="1">
      <c r="A61" s="81"/>
      <c r="B61" s="96">
        <f aca="true" t="shared" si="1" ref="B61:O61">SUM(B3:B60)</f>
        <v>21377.51000000001</v>
      </c>
      <c r="C61" s="96">
        <f t="shared" si="1"/>
        <v>53229.599999999984</v>
      </c>
      <c r="D61" s="96">
        <f t="shared" si="1"/>
        <v>0</v>
      </c>
      <c r="E61" s="96">
        <f t="shared" si="1"/>
        <v>872.0600000000002</v>
      </c>
      <c r="F61" s="96">
        <f t="shared" si="1"/>
        <v>4925.47</v>
      </c>
      <c r="G61" s="96">
        <f t="shared" si="1"/>
        <v>2299.8</v>
      </c>
      <c r="H61" s="96">
        <f t="shared" si="1"/>
        <v>459.96</v>
      </c>
      <c r="I61" s="97">
        <f t="shared" si="1"/>
        <v>1379.88</v>
      </c>
      <c r="J61" s="97">
        <f t="shared" si="1"/>
        <v>1379.8799999999999</v>
      </c>
      <c r="K61" s="96">
        <f t="shared" si="1"/>
        <v>0</v>
      </c>
      <c r="L61" s="96">
        <f t="shared" si="1"/>
        <v>0</v>
      </c>
      <c r="M61" s="96">
        <f t="shared" si="1"/>
        <v>2500</v>
      </c>
      <c r="N61" s="15">
        <f t="shared" si="1"/>
        <v>88424.16000000005</v>
      </c>
      <c r="O61" s="96">
        <f t="shared" si="1"/>
        <v>858933.8299999996</v>
      </c>
    </row>
    <row r="62" ht="13.5" thickTop="1"/>
  </sheetData>
  <sheetProtection password="F2A9" sheet="1"/>
  <mergeCells count="1">
    <mergeCell ref="A1:N1"/>
  </mergeCells>
  <printOptions gridLines="1" headings="1"/>
  <pageMargins left="0.7086614173228347" right="0.7086614173228347" top="0.35433070866141736" bottom="0.35433070866141736" header="0.31496062992125984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Limerick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Seawright</dc:creator>
  <cp:keywords/>
  <dc:description/>
  <cp:lastModifiedBy>Hourigan, Grace</cp:lastModifiedBy>
  <cp:lastPrinted>2020-02-06T14:49:04Z</cp:lastPrinted>
  <dcterms:created xsi:type="dcterms:W3CDTF">2014-06-05T14:58:53Z</dcterms:created>
  <dcterms:modified xsi:type="dcterms:W3CDTF">2020-02-11T11:52:13Z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Hourigan, Grace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Seawright, Laura</vt:lpwstr>
  </property>
  <property fmtid="{D5CDD505-2E9C-101B-9397-08002B2CF9AE}" pid="5" name="Pilot_PII">
    <vt:lpwstr>No</vt:lpwstr>
  </property>
  <property fmtid="{D5CDD505-2E9C-101B-9397-08002B2CF9AE}" pid="6" name="Pilot_CustomTrigger">
    <vt:lpwstr>0</vt:lpwstr>
  </property>
  <property fmtid="{D5CDD505-2E9C-101B-9397-08002B2CF9AE}" pid="7" name="Pilot_LibraryMetadataID">
    <vt:lpwstr/>
  </property>
  <property fmtid="{D5CDD505-2E9C-101B-9397-08002B2CF9AE}" pid="8" name="_AdHocReviewCycleID">
    <vt:i4>313292638</vt:i4>
  </property>
  <property fmtid="{D5CDD505-2E9C-101B-9397-08002B2CF9AE}" pid="9" name="_NewReviewCycle">
    <vt:lpwstr/>
  </property>
  <property fmtid="{D5CDD505-2E9C-101B-9397-08002B2CF9AE}" pid="10" name="_EmailSubject">
    <vt:lpwstr>Register of Councillors Expenses September to December, 2019.</vt:lpwstr>
  </property>
  <property fmtid="{D5CDD505-2E9C-101B-9397-08002B2CF9AE}" pid="11" name="_AuthorEmail">
    <vt:lpwstr>grace.hourigan@limerick.ie</vt:lpwstr>
  </property>
  <property fmtid="{D5CDD505-2E9C-101B-9397-08002B2CF9AE}" pid="12" name="_AuthorEmailDisplayName">
    <vt:lpwstr>Hourigan, Grace</vt:lpwstr>
  </property>
</Properties>
</file>